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1.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DairyCo MI\Datum from M\Website PB\Prices\Wholesale prices\AMPE and MCVE\"/>
    </mc:Choice>
  </mc:AlternateContent>
  <xr:revisionPtr revIDLastSave="0" documentId="13_ncr:1_{7A7760C9-429D-435D-A23F-0B1F1F1A1406}" xr6:coauthVersionLast="47" xr6:coauthVersionMax="47" xr10:uidLastSave="{00000000-0000-0000-0000-000000000000}"/>
  <bookViews>
    <workbookView xWindow="-110" yWindow="-110" windowWidth="19420" windowHeight="11500" tabRatio="433" firstSheet="5" activeTab="5" xr2:uid="{00000000-000D-0000-FFFF-FFFF00000000}"/>
  </bookViews>
  <sheets>
    <sheet name="AMPE-MCVE" sheetId="8" r:id="rId1"/>
    <sheet name="MMV" sheetId="10" r:id="rId2"/>
    <sheet name="Processing costs" sheetId="11" r:id="rId3"/>
    <sheet name="AMPE-MCVE 2014" sheetId="1" state="hidden" r:id="rId4"/>
    <sheet name="Old charst_hide" sheetId="2" state="hidden" r:id="rId5"/>
    <sheet name="Table - HIDE" sheetId="3" r:id="rId6"/>
    <sheet name="Chart" sheetId="9" r:id="rId7"/>
    <sheet name="Disclaimer and not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39" i="8" l="1"/>
  <c r="D139" i="8"/>
  <c r="R139" i="8"/>
  <c r="Q139" i="8"/>
  <c r="P139" i="8"/>
  <c r="K139" i="8"/>
  <c r="J139" i="8"/>
  <c r="I139" i="8"/>
  <c r="N136" i="8"/>
  <c r="N138" i="8"/>
  <c r="N139" i="8"/>
  <c r="N137" i="8" l="1"/>
  <c r="O138" i="8" l="1"/>
  <c r="N135" i="8"/>
  <c r="N134" i="8"/>
  <c r="N133" i="8"/>
  <c r="O139" i="8" l="1"/>
  <c r="I138" i="8" l="1"/>
  <c r="J138" i="8"/>
  <c r="K138" i="8"/>
  <c r="Q138" i="8"/>
  <c r="R138" i="8"/>
  <c r="P138" i="8"/>
  <c r="C140" i="10" l="1"/>
  <c r="D140" i="10" s="1"/>
  <c r="D138" i="8"/>
  <c r="C138" i="8"/>
  <c r="C139" i="10" s="1"/>
  <c r="K137" i="8" l="1"/>
  <c r="J137" i="8"/>
  <c r="I137" i="8"/>
  <c r="P137" i="8"/>
  <c r="Q137" i="8"/>
  <c r="O137" i="8" l="1"/>
  <c r="R137" i="8" s="1"/>
  <c r="D137" i="8" l="1"/>
  <c r="C137" i="8"/>
  <c r="I136" i="8"/>
  <c r="J136" i="8"/>
  <c r="K136" i="8"/>
  <c r="P136" i="8"/>
  <c r="Q136" i="8"/>
  <c r="C138" i="10" l="1"/>
  <c r="D139" i="10" s="1"/>
  <c r="C136" i="8"/>
  <c r="O136" i="8"/>
  <c r="R136" i="8" s="1"/>
  <c r="D136" i="8" s="1"/>
  <c r="C137" i="10" l="1"/>
  <c r="D138" i="10" s="1"/>
  <c r="K135" i="8"/>
  <c r="J135" i="8"/>
  <c r="I135" i="8"/>
  <c r="Q135" i="8"/>
  <c r="P135" i="8"/>
  <c r="O135" i="8" l="1"/>
  <c r="R135" i="8" s="1"/>
  <c r="D135" i="8" l="1"/>
  <c r="C135" i="8"/>
  <c r="O122" i="8"/>
  <c r="R122" i="8" s="1"/>
  <c r="O123" i="8"/>
  <c r="R123" i="8" s="1"/>
  <c r="O124" i="8"/>
  <c r="R124" i="8" s="1"/>
  <c r="O125" i="8"/>
  <c r="R125" i="8" s="1"/>
  <c r="O126" i="8"/>
  <c r="R126" i="8" s="1"/>
  <c r="O127" i="8"/>
  <c r="R127" i="8" s="1"/>
  <c r="O128" i="8"/>
  <c r="R128" i="8" s="1"/>
  <c r="O129" i="8"/>
  <c r="R129" i="8" s="1"/>
  <c r="O130" i="8"/>
  <c r="R130" i="8" s="1"/>
  <c r="O131" i="8"/>
  <c r="R131" i="8" s="1"/>
  <c r="O132" i="8"/>
  <c r="R132" i="8" s="1"/>
  <c r="O133" i="8"/>
  <c r="R133" i="8" s="1"/>
  <c r="O134" i="8"/>
  <c r="R134" i="8" s="1"/>
  <c r="P122" i="8"/>
  <c r="P123" i="8"/>
  <c r="P124" i="8"/>
  <c r="P125" i="8"/>
  <c r="P126" i="8"/>
  <c r="P127" i="8"/>
  <c r="P128" i="8"/>
  <c r="P129" i="8"/>
  <c r="P130" i="8"/>
  <c r="P131" i="8"/>
  <c r="P132" i="8"/>
  <c r="P133" i="8"/>
  <c r="P134" i="8"/>
  <c r="I122" i="8"/>
  <c r="I123" i="8"/>
  <c r="I124" i="8"/>
  <c r="I125" i="8"/>
  <c r="I126" i="8"/>
  <c r="I127" i="8"/>
  <c r="I128" i="8"/>
  <c r="I129" i="8"/>
  <c r="I130" i="8"/>
  <c r="I131" i="8"/>
  <c r="I132" i="8"/>
  <c r="I133" i="8"/>
  <c r="I134" i="8"/>
  <c r="J122" i="8"/>
  <c r="J123" i="8"/>
  <c r="J124" i="8"/>
  <c r="J125" i="8"/>
  <c r="J126" i="8"/>
  <c r="J127" i="8"/>
  <c r="J128" i="8"/>
  <c r="J129" i="8"/>
  <c r="J130" i="8"/>
  <c r="J131" i="8"/>
  <c r="J132" i="8"/>
  <c r="J133" i="8"/>
  <c r="J134" i="8"/>
  <c r="K122" i="8"/>
  <c r="K123" i="8"/>
  <c r="K124" i="8"/>
  <c r="K125" i="8"/>
  <c r="K126" i="8"/>
  <c r="K127" i="8"/>
  <c r="K128" i="8"/>
  <c r="K129" i="8"/>
  <c r="K130" i="8"/>
  <c r="K131" i="8"/>
  <c r="K132" i="8"/>
  <c r="K133" i="8"/>
  <c r="K134" i="8"/>
  <c r="C136" i="10" l="1"/>
  <c r="C134" i="8"/>
  <c r="Q134" i="8"/>
  <c r="D137" i="10" l="1"/>
  <c r="Q133" i="8"/>
  <c r="D134" i="8" l="1"/>
  <c r="N132" i="8"/>
  <c r="Q132" i="8" s="1"/>
  <c r="C135" i="10" l="1"/>
  <c r="D136" i="10" s="1"/>
  <c r="C133" i="8"/>
  <c r="D133" i="8"/>
  <c r="C134" i="10" l="1"/>
  <c r="D135" i="10" s="1"/>
  <c r="N131" i="8"/>
  <c r="Q131" i="8" s="1"/>
  <c r="D132" i="8" l="1"/>
  <c r="C132" i="8"/>
  <c r="C133" i="10" l="1"/>
  <c r="D134" i="10" s="1"/>
  <c r="C131" i="8"/>
  <c r="D131" i="8"/>
  <c r="N130" i="8"/>
  <c r="Q130" i="8" s="1"/>
  <c r="C132" i="10" l="1"/>
  <c r="D133" i="10" s="1"/>
  <c r="C130" i="8" l="1"/>
  <c r="D130" i="8" l="1"/>
  <c r="C131" i="10" s="1"/>
  <c r="D132" i="10" s="1"/>
  <c r="N126" i="8" l="1"/>
  <c r="Q126" i="8" s="1"/>
  <c r="N129" i="8"/>
  <c r="Q129" i="8" s="1"/>
  <c r="C129" i="8" l="1"/>
  <c r="D129" i="8"/>
  <c r="N128" i="8"/>
  <c r="Q128" i="8" s="1"/>
  <c r="C130" i="10" l="1"/>
  <c r="D131" i="10" s="1"/>
  <c r="N127" i="8"/>
  <c r="Q127" i="8" s="1"/>
  <c r="C128" i="8" l="1"/>
  <c r="D128" i="8"/>
  <c r="C129" i="10" l="1"/>
  <c r="D130" i="10" s="1"/>
  <c r="C127" i="8"/>
  <c r="D127" i="8" l="1"/>
  <c r="C128" i="10" l="1"/>
  <c r="D129" i="10" s="1"/>
  <c r="C126" i="8" l="1"/>
  <c r="D126" i="8"/>
  <c r="C127" i="10" l="1"/>
  <c r="D128" i="10" s="1"/>
  <c r="N125" i="8"/>
  <c r="Q125" i="8" s="1"/>
  <c r="N124" i="8"/>
  <c r="Q124" i="8" s="1"/>
  <c r="C125" i="8" l="1"/>
  <c r="D125" i="8"/>
  <c r="N123" i="8"/>
  <c r="Q123" i="8" s="1"/>
  <c r="C126" i="10" l="1"/>
  <c r="D127" i="10" s="1"/>
  <c r="D124" i="8" l="1"/>
  <c r="C124" i="8"/>
  <c r="N122" i="8"/>
  <c r="Q122" i="8" s="1"/>
  <c r="C125" i="10" l="1"/>
  <c r="D126" i="10" s="1"/>
  <c r="D123" i="8" l="1"/>
  <c r="C123" i="8"/>
  <c r="C124" i="10" l="1"/>
  <c r="D125" i="10" s="1"/>
  <c r="O121" i="8"/>
  <c r="N121" i="8"/>
  <c r="C122" i="8" l="1"/>
  <c r="D122" i="8"/>
  <c r="R121" i="8"/>
  <c r="Q121" i="8"/>
  <c r="P121" i="8"/>
  <c r="K121" i="8"/>
  <c r="J121" i="8"/>
  <c r="I121" i="8"/>
  <c r="P120" i="8"/>
  <c r="K120" i="8"/>
  <c r="J120" i="8"/>
  <c r="I120" i="8"/>
  <c r="N120" i="8"/>
  <c r="Q120" i="8" s="1"/>
  <c r="C123" i="10" l="1"/>
  <c r="D121" i="8"/>
  <c r="C121" i="8"/>
  <c r="N119" i="8"/>
  <c r="C122" i="10" l="1"/>
  <c r="D123" i="10" s="1"/>
  <c r="D124" i="10"/>
  <c r="O120" i="8"/>
  <c r="R120" i="8" s="1"/>
  <c r="Q119" i="8"/>
  <c r="C120" i="8" l="1"/>
  <c r="D120" i="8"/>
  <c r="C121" i="10" l="1"/>
  <c r="D122" i="10" s="1"/>
  <c r="K119" i="8"/>
  <c r="J119" i="8"/>
  <c r="I119" i="8"/>
  <c r="P119" i="8"/>
  <c r="O119" i="8"/>
  <c r="R119" i="8" s="1"/>
  <c r="C119" i="8" l="1"/>
  <c r="D119" i="8"/>
  <c r="N118" i="8"/>
  <c r="C120" i="10" l="1"/>
  <c r="D121" i="10" s="1"/>
  <c r="I118" i="8"/>
  <c r="J118" i="8"/>
  <c r="K118" i="8"/>
  <c r="Q118" i="8"/>
  <c r="O118" i="8"/>
  <c r="R118" i="8" s="1"/>
  <c r="P118" i="8"/>
  <c r="N117" i="8"/>
  <c r="C118" i="8" l="1"/>
  <c r="D118" i="8"/>
  <c r="O117" i="8"/>
  <c r="R117" i="8" s="1"/>
  <c r="P117" i="8"/>
  <c r="Q117" i="8"/>
  <c r="I117" i="8"/>
  <c r="J117" i="8"/>
  <c r="K117" i="8"/>
  <c r="C119" i="10" l="1"/>
  <c r="D120" i="10" s="1"/>
  <c r="C117" i="8"/>
  <c r="D117" i="8"/>
  <c r="N113" i="8"/>
  <c r="N114" i="8"/>
  <c r="N115" i="8"/>
  <c r="N116" i="8"/>
  <c r="C118" i="10" l="1"/>
  <c r="D119" i="10" s="1"/>
  <c r="P116" i="8"/>
  <c r="K116" i="8"/>
  <c r="J116" i="8"/>
  <c r="I116" i="8"/>
  <c r="C116" i="8" l="1"/>
  <c r="O116" i="8"/>
  <c r="R116" i="8" s="1"/>
  <c r="Q116" i="8"/>
  <c r="B5" i="3"/>
  <c r="B6" i="3"/>
  <c r="D116" i="8" l="1"/>
  <c r="C117" i="10" s="1"/>
  <c r="D118" i="10" s="1"/>
  <c r="I115" i="8"/>
  <c r="J115" i="8"/>
  <c r="K115" i="8"/>
  <c r="O115" i="8"/>
  <c r="R115" i="8" s="1"/>
  <c r="P115" i="8"/>
  <c r="Q115" i="8"/>
  <c r="N112" i="8"/>
  <c r="N111" i="8"/>
  <c r="N110" i="8"/>
  <c r="N109" i="8"/>
  <c r="N108" i="8"/>
  <c r="N107" i="8"/>
  <c r="N106" i="8"/>
  <c r="N105" i="8"/>
  <c r="N104" i="8"/>
  <c r="N103" i="8"/>
  <c r="C115" i="8" l="1"/>
  <c r="D115" i="8"/>
  <c r="Q114" i="8"/>
  <c r="P114" i="8"/>
  <c r="K114" i="8"/>
  <c r="J114" i="8"/>
  <c r="I114" i="8"/>
  <c r="O114" i="8"/>
  <c r="R114" i="8" s="1"/>
  <c r="C116" i="10" l="1"/>
  <c r="D117" i="10" s="1"/>
  <c r="D114" i="8"/>
  <c r="C114" i="8"/>
  <c r="J113" i="8"/>
  <c r="K113" i="8"/>
  <c r="Q113" i="8"/>
  <c r="C115" i="10" l="1"/>
  <c r="D116" i="10" s="1"/>
  <c r="I113" i="8"/>
  <c r="C113" i="8" s="1"/>
  <c r="O113" i="8"/>
  <c r="R113" i="8" s="1"/>
  <c r="P113" i="8"/>
  <c r="N102" i="8"/>
  <c r="D113" i="8" l="1"/>
  <c r="C114" i="10" s="1"/>
  <c r="D115" i="10" s="1"/>
  <c r="O112" i="8"/>
  <c r="K110" i="8"/>
  <c r="I112" i="8" l="1"/>
  <c r="J112" i="8"/>
  <c r="K112" i="8"/>
  <c r="R112" i="8"/>
  <c r="P112" i="8"/>
  <c r="Q112" i="8"/>
  <c r="Q111" i="8"/>
  <c r="C112" i="8" l="1"/>
  <c r="D112" i="8"/>
  <c r="K111" i="8"/>
  <c r="J111" i="8"/>
  <c r="I111" i="8"/>
  <c r="C113" i="10" l="1"/>
  <c r="D114" i="10" s="1"/>
  <c r="O111" i="8"/>
  <c r="R111" i="8" s="1"/>
  <c r="C111" i="8" l="1"/>
  <c r="P111" i="8"/>
  <c r="D111" i="8" l="1"/>
  <c r="C112" i="10" s="1"/>
  <c r="D113" i="10" s="1"/>
  <c r="I110" i="8"/>
  <c r="J110" i="8"/>
  <c r="P110" i="8" l="1"/>
  <c r="O110" i="8" l="1"/>
  <c r="R110" i="8" l="1"/>
  <c r="Q110" i="8"/>
  <c r="D110" i="8" l="1"/>
  <c r="C110" i="8"/>
  <c r="O109" i="8"/>
  <c r="R109" i="8" s="1"/>
  <c r="I109" i="8"/>
  <c r="J109" i="8"/>
  <c r="K109" i="8"/>
  <c r="Q109" i="8"/>
  <c r="P109" i="8"/>
  <c r="C111" i="10" l="1"/>
  <c r="D112" i="10" s="1"/>
  <c r="C109" i="8"/>
  <c r="D109" i="8"/>
  <c r="C110" i="10" l="1"/>
  <c r="D111" i="10" s="1"/>
  <c r="P108" i="8"/>
  <c r="O108" i="8"/>
  <c r="I108" i="8" l="1"/>
  <c r="J108" i="8"/>
  <c r="K108" i="8"/>
  <c r="R108" i="8"/>
  <c r="Q108" i="8"/>
  <c r="O107" i="8"/>
  <c r="D108" i="8" l="1"/>
  <c r="C108" i="8"/>
  <c r="I107" i="8"/>
  <c r="J107" i="8"/>
  <c r="K107" i="8"/>
  <c r="R107" i="8"/>
  <c r="P107" i="8"/>
  <c r="Q107" i="8"/>
  <c r="Q106" i="8"/>
  <c r="P106" i="8"/>
  <c r="K106" i="8"/>
  <c r="J106" i="8"/>
  <c r="I106" i="8"/>
  <c r="C109" i="10" l="1"/>
  <c r="D110" i="10" s="1"/>
  <c r="C107" i="8"/>
  <c r="D107" i="8"/>
  <c r="C106" i="8"/>
  <c r="C108" i="10" l="1"/>
  <c r="D109" i="10" s="1"/>
  <c r="O106" i="8"/>
  <c r="R106" i="8" s="1"/>
  <c r="D106" i="8" s="1"/>
  <c r="O105" i="8"/>
  <c r="C107" i="10" l="1"/>
  <c r="D108" i="10" s="1"/>
  <c r="O104" i="8"/>
  <c r="Q105" i="8" l="1"/>
  <c r="I105" i="8"/>
  <c r="J105" i="8"/>
  <c r="K105" i="8"/>
  <c r="R105" i="8"/>
  <c r="P105" i="8"/>
  <c r="P104" i="8"/>
  <c r="Q104" i="8"/>
  <c r="D105" i="8" l="1"/>
  <c r="C105" i="8"/>
  <c r="I104" i="8"/>
  <c r="J104" i="8"/>
  <c r="K104" i="8"/>
  <c r="C106" i="10" l="1"/>
  <c r="D107" i="10" s="1"/>
  <c r="C104" i="8"/>
  <c r="R104" i="8"/>
  <c r="D104" i="8" s="1"/>
  <c r="C105" i="10" s="1"/>
  <c r="D106" i="10" l="1"/>
  <c r="K103" i="8"/>
  <c r="I103" i="8"/>
  <c r="O102" i="8" l="1"/>
  <c r="O103" i="8"/>
  <c r="G3" i="3" l="1"/>
  <c r="J103" i="8"/>
  <c r="R103" i="8"/>
  <c r="P103" i="8"/>
  <c r="Q103" i="8"/>
  <c r="C103" i="8" l="1"/>
  <c r="D103" i="8"/>
  <c r="C104" i="10" l="1"/>
  <c r="D105" i="10" s="1"/>
  <c r="Q102" i="8"/>
  <c r="I102" i="8"/>
  <c r="J102" i="8"/>
  <c r="K102" i="8"/>
  <c r="R102" i="8"/>
  <c r="P102" i="8"/>
  <c r="C102" i="8" l="1"/>
  <c r="D102" i="8"/>
  <c r="C103" i="10" l="1"/>
  <c r="N101" i="8"/>
  <c r="Q101" i="8" s="1"/>
  <c r="K101" i="8"/>
  <c r="I101" i="8"/>
  <c r="J101" i="8"/>
  <c r="O101" i="8"/>
  <c r="R101" i="8" s="1"/>
  <c r="P101" i="8"/>
  <c r="D104" i="10" l="1"/>
  <c r="C101" i="8"/>
  <c r="D101" i="8"/>
  <c r="C102" i="10" l="1"/>
  <c r="D103" i="10" s="1"/>
  <c r="N100" i="8"/>
  <c r="Q100" i="8" s="1"/>
  <c r="I100" i="8"/>
  <c r="J100" i="8"/>
  <c r="K100" i="8"/>
  <c r="O100" i="8"/>
  <c r="R100" i="8" s="1"/>
  <c r="P100" i="8"/>
  <c r="D100" i="8" l="1"/>
  <c r="C100" i="8"/>
  <c r="C101" i="10" l="1"/>
  <c r="D102" i="10" s="1"/>
  <c r="N99" i="8"/>
  <c r="Q99" i="8" s="1"/>
  <c r="I99" i="8"/>
  <c r="J99" i="8"/>
  <c r="K99" i="8"/>
  <c r="O99" i="8"/>
  <c r="R99" i="8" s="1"/>
  <c r="P99" i="8"/>
  <c r="C99" i="8" l="1"/>
  <c r="D99" i="8"/>
  <c r="C100" i="10" l="1"/>
  <c r="D101" i="10" s="1"/>
  <c r="N98" i="8"/>
  <c r="Q98" i="8" s="1"/>
  <c r="P98" i="8"/>
  <c r="I98" i="8" l="1"/>
  <c r="J98" i="8"/>
  <c r="K98" i="8"/>
  <c r="C98" i="8" l="1"/>
  <c r="O98" i="8"/>
  <c r="R98" i="8" s="1"/>
  <c r="D98" i="8" s="1"/>
  <c r="N97" i="8"/>
  <c r="Q97" i="8" s="1"/>
  <c r="I97" i="8"/>
  <c r="J97" i="8"/>
  <c r="K97" i="8"/>
  <c r="O97" i="8"/>
  <c r="R97" i="8" s="1"/>
  <c r="P97" i="8"/>
  <c r="C99" i="10" l="1"/>
  <c r="D100" i="10" s="1"/>
  <c r="C97" i="8"/>
  <c r="D97" i="8"/>
  <c r="C98" i="10" l="1"/>
  <c r="D99" i="10" s="1"/>
  <c r="N96" i="8"/>
  <c r="Q96" i="8" s="1"/>
  <c r="I96" i="8"/>
  <c r="J96" i="8"/>
  <c r="K96" i="8"/>
  <c r="O96" i="8"/>
  <c r="R96" i="8" s="1"/>
  <c r="P96" i="8"/>
  <c r="C96" i="8" l="1"/>
  <c r="D96" i="8"/>
  <c r="C97" i="10" l="1"/>
  <c r="D98" i="10" s="1"/>
  <c r="P95" i="8"/>
  <c r="I95" i="8"/>
  <c r="J95" i="8"/>
  <c r="K95" i="8"/>
  <c r="N95" i="8"/>
  <c r="Q95" i="8" s="1"/>
  <c r="O95" i="8" l="1"/>
  <c r="R95" i="8" s="1"/>
  <c r="P94" i="8"/>
  <c r="I94" i="8"/>
  <c r="J94" i="8"/>
  <c r="K94" i="8"/>
  <c r="O94" i="8"/>
  <c r="R94" i="8" s="1"/>
  <c r="D95" i="8" l="1"/>
  <c r="C95" i="8"/>
  <c r="N94" i="8"/>
  <c r="Q94" i="8" s="1"/>
  <c r="C96" i="10" l="1"/>
  <c r="D97" i="10" s="1"/>
  <c r="C94" i="8"/>
  <c r="D94" i="8"/>
  <c r="I93" i="8"/>
  <c r="J93" i="8"/>
  <c r="K93" i="8"/>
  <c r="C95" i="10" l="1"/>
  <c r="D96" i="10" s="1"/>
  <c r="N93" i="8"/>
  <c r="Q93" i="8" s="1"/>
  <c r="O93" i="8"/>
  <c r="R93" i="8" s="1"/>
  <c r="P93" i="8"/>
  <c r="C93" i="8" l="1"/>
  <c r="D93" i="8"/>
  <c r="C94" i="10" l="1"/>
  <c r="D95" i="10" s="1"/>
  <c r="P92" i="8"/>
  <c r="K92" i="8"/>
  <c r="J92" i="8"/>
  <c r="I92" i="8"/>
  <c r="N92" i="8" l="1"/>
  <c r="Q92" i="8" s="1"/>
  <c r="O92" i="8" l="1"/>
  <c r="R92" i="8" s="1"/>
  <c r="C92" i="8" l="1"/>
  <c r="D92" i="8"/>
  <c r="C93" i="10" l="1"/>
  <c r="D94" i="10" s="1"/>
  <c r="N91" i="8" l="1"/>
  <c r="N90" i="8"/>
  <c r="P91" i="8" l="1"/>
  <c r="Q91" i="8"/>
  <c r="I91" i="8"/>
  <c r="J91" i="8"/>
  <c r="K91" i="8"/>
  <c r="O91" i="8"/>
  <c r="R91" i="8" s="1"/>
  <c r="C91" i="8" l="1"/>
  <c r="D91" i="8"/>
  <c r="F153" i="1"/>
  <c r="N153" i="1" s="1"/>
  <c r="Q153" i="1" s="1"/>
  <c r="G153" i="1"/>
  <c r="I153" i="1" s="1"/>
  <c r="L153" i="1"/>
  <c r="O153" i="1" s="1"/>
  <c r="M153" i="1"/>
  <c r="P153" i="1" s="1"/>
  <c r="P90" i="8"/>
  <c r="Q90" i="8"/>
  <c r="C92" i="10" l="1"/>
  <c r="D93" i="10" s="1"/>
  <c r="D153" i="1"/>
  <c r="J153" i="1"/>
  <c r="H153" i="1"/>
  <c r="C153" i="1" l="1"/>
  <c r="K90" i="8"/>
  <c r="I90" i="8"/>
  <c r="J90" i="8"/>
  <c r="O90" i="8"/>
  <c r="R90" i="8" s="1"/>
  <c r="D90" i="8" s="1"/>
  <c r="C90" i="8" l="1"/>
  <c r="F152" i="1"/>
  <c r="H152" i="1" s="1"/>
  <c r="G152" i="1"/>
  <c r="I152" i="1" s="1"/>
  <c r="L152" i="1"/>
  <c r="O152" i="1" s="1"/>
  <c r="C91" i="10" l="1"/>
  <c r="D92" i="10" s="1"/>
  <c r="J152" i="1"/>
  <c r="C152" i="1" s="1"/>
  <c r="N152" i="1"/>
  <c r="Q152" i="1" s="1"/>
  <c r="K89" i="8"/>
  <c r="K88" i="8"/>
  <c r="J8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9" i="8"/>
  <c r="N89" i="8" l="1"/>
  <c r="M152" i="1" s="1"/>
  <c r="P152" i="1" s="1"/>
  <c r="D152" i="1" s="1"/>
  <c r="P89" i="8" l="1"/>
  <c r="O89" i="8"/>
  <c r="R89" i="8" s="1"/>
  <c r="Q89" i="8"/>
  <c r="I89" i="8"/>
  <c r="P88" i="8"/>
  <c r="I88" i="8"/>
  <c r="C89" i="8" l="1"/>
  <c r="D89" i="8"/>
  <c r="F151" i="1"/>
  <c r="H151" i="1" s="1"/>
  <c r="G151" i="1"/>
  <c r="I151" i="1" s="1"/>
  <c r="L151" i="1"/>
  <c r="O151" i="1" s="1"/>
  <c r="C88" i="8"/>
  <c r="N88" i="8"/>
  <c r="Q88" i="8" s="1"/>
  <c r="M151" i="1" l="1"/>
  <c r="P151" i="1" s="1"/>
  <c r="C90" i="10"/>
  <c r="D91" i="10" s="1"/>
  <c r="N151" i="1"/>
  <c r="Q151" i="1" s="1"/>
  <c r="J151" i="1"/>
  <c r="C151" i="1" s="1"/>
  <c r="D151" i="1" l="1"/>
  <c r="O88" i="8"/>
  <c r="R88" i="8" s="1"/>
  <c r="D88" i="8" s="1"/>
  <c r="F150" i="1"/>
  <c r="H150" i="1" s="1"/>
  <c r="G150" i="1"/>
  <c r="I150" i="1" s="1"/>
  <c r="L150" i="1"/>
  <c r="O150" i="1" s="1"/>
  <c r="N87" i="8"/>
  <c r="Q87" i="8" s="1"/>
  <c r="C89" i="10" l="1"/>
  <c r="D90" i="10" s="1"/>
  <c r="M150" i="1"/>
  <c r="P150" i="1" s="1"/>
  <c r="J150" i="1"/>
  <c r="C150" i="1" s="1"/>
  <c r="N150" i="1"/>
  <c r="Q150" i="1" s="1"/>
  <c r="D150" i="1" l="1"/>
  <c r="P87" i="8"/>
  <c r="K87" i="8"/>
  <c r="I87" i="8"/>
  <c r="O87" i="8"/>
  <c r="R87" i="8" s="1"/>
  <c r="C87" i="8" l="1"/>
  <c r="D87" i="8"/>
  <c r="F149" i="1"/>
  <c r="H149" i="1" s="1"/>
  <c r="G149" i="1"/>
  <c r="I149" i="1" s="1"/>
  <c r="L149" i="1"/>
  <c r="O149" i="1" s="1"/>
  <c r="C88" i="10" l="1"/>
  <c r="D89" i="10" s="1"/>
  <c r="N149" i="1"/>
  <c r="Q149" i="1" s="1"/>
  <c r="J149" i="1"/>
  <c r="C149" i="1" s="1"/>
  <c r="N86" i="8" l="1"/>
  <c r="M149" i="1" s="1"/>
  <c r="P149" i="1" s="1"/>
  <c r="D149" i="1" s="1"/>
  <c r="Q86" i="8" l="1"/>
  <c r="K86" i="8"/>
  <c r="P86" i="8" l="1"/>
  <c r="I86" i="8"/>
  <c r="C86" i="8" s="1"/>
  <c r="O86" i="8"/>
  <c r="R86" i="8" s="1"/>
  <c r="G147" i="1"/>
  <c r="F147" i="1"/>
  <c r="G146" i="1"/>
  <c r="F146" i="1"/>
  <c r="G145" i="1"/>
  <c r="F145" i="1"/>
  <c r="G144" i="1"/>
  <c r="F144" i="1"/>
  <c r="G143" i="1"/>
  <c r="F143" i="1"/>
  <c r="G142" i="1"/>
  <c r="F142" i="1"/>
  <c r="G141" i="1"/>
  <c r="F141" i="1"/>
  <c r="L147" i="1"/>
  <c r="L146" i="1"/>
  <c r="L145" i="1"/>
  <c r="L144" i="1"/>
  <c r="L143" i="1"/>
  <c r="L142" i="1"/>
  <c r="L141" i="1"/>
  <c r="L148" i="1"/>
  <c r="G148" i="1"/>
  <c r="F148" i="1"/>
  <c r="D86" i="8" l="1"/>
  <c r="H148" i="1"/>
  <c r="I148" i="1"/>
  <c r="J148" i="1"/>
  <c r="N148" i="1"/>
  <c r="Q148" i="1" s="1"/>
  <c r="O148" i="1"/>
  <c r="N85" i="8"/>
  <c r="M148" i="1" s="1"/>
  <c r="P148" i="1" s="1"/>
  <c r="C87" i="10" l="1"/>
  <c r="D88" i="10" s="1"/>
  <c r="C148" i="1"/>
  <c r="D148" i="1"/>
  <c r="I85" i="8" l="1"/>
  <c r="K85" i="8"/>
  <c r="Q85" i="8"/>
  <c r="O85" i="8"/>
  <c r="R85" i="8" s="1"/>
  <c r="P85" i="8"/>
  <c r="C85" i="8" l="1"/>
  <c r="D85" i="8"/>
  <c r="H147" i="1"/>
  <c r="I147" i="1"/>
  <c r="J147" i="1"/>
  <c r="N147" i="1"/>
  <c r="Q147" i="1" s="1"/>
  <c r="O147" i="1"/>
  <c r="K84" i="8"/>
  <c r="N84" i="8"/>
  <c r="Q84" i="8" s="1"/>
  <c r="C86" i="10" l="1"/>
  <c r="M147" i="1"/>
  <c r="P147" i="1" s="1"/>
  <c r="D147" i="1" s="1"/>
  <c r="C147" i="1"/>
  <c r="D87" i="10" l="1"/>
  <c r="P84" i="8"/>
  <c r="I84" i="8"/>
  <c r="O84" i="8"/>
  <c r="R84" i="8" s="1"/>
  <c r="C38" i="3"/>
  <c r="C37" i="3" l="1"/>
  <c r="C36" i="3" s="1"/>
  <c r="C35" i="3" s="1"/>
  <c r="D38" i="3"/>
  <c r="E38" i="3"/>
  <c r="C84" i="8"/>
  <c r="D84" i="8"/>
  <c r="D33" i="10"/>
  <c r="D41" i="10"/>
  <c r="D49" i="10"/>
  <c r="C85" i="10" l="1"/>
  <c r="D25" i="10"/>
  <c r="D17" i="10"/>
  <c r="D37" i="3"/>
  <c r="D40" i="10"/>
  <c r="D32" i="10"/>
  <c r="D24" i="10"/>
  <c r="D16" i="10"/>
  <c r="D46" i="10"/>
  <c r="D38" i="10"/>
  <c r="D30" i="10"/>
  <c r="D22" i="10"/>
  <c r="D14" i="10"/>
  <c r="D31" i="10"/>
  <c r="D23" i="10"/>
  <c r="D15" i="10"/>
  <c r="D47" i="10"/>
  <c r="D51" i="10"/>
  <c r="D43" i="10"/>
  <c r="D35" i="10"/>
  <c r="D27" i="10"/>
  <c r="D19" i="10"/>
  <c r="D45" i="10"/>
  <c r="D37" i="10"/>
  <c r="D29" i="10"/>
  <c r="D21" i="10"/>
  <c r="D13" i="10"/>
  <c r="D50" i="10"/>
  <c r="D34" i="10"/>
  <c r="D26" i="10"/>
  <c r="D18" i="10"/>
  <c r="D36" i="3"/>
  <c r="C34" i="3"/>
  <c r="D42" i="10"/>
  <c r="D48" i="10"/>
  <c r="D39" i="10"/>
  <c r="D11" i="10"/>
  <c r="D44" i="10"/>
  <c r="D36" i="10"/>
  <c r="D28" i="10"/>
  <c r="D20" i="10"/>
  <c r="D12" i="10"/>
  <c r="N82" i="8"/>
  <c r="N83" i="8"/>
  <c r="N81" i="8"/>
  <c r="D86" i="10" l="1"/>
  <c r="E37" i="3"/>
  <c r="C33" i="3"/>
  <c r="H146" i="1"/>
  <c r="I146" i="1"/>
  <c r="J146" i="1"/>
  <c r="M146" i="1"/>
  <c r="P146" i="1" s="1"/>
  <c r="N146" i="1"/>
  <c r="Q146" i="1" s="1"/>
  <c r="O146" i="1"/>
  <c r="Q83" i="8"/>
  <c r="K83" i="8"/>
  <c r="C146" i="1" l="1"/>
  <c r="D146" i="1"/>
  <c r="P83" i="8" l="1"/>
  <c r="I83" i="8"/>
  <c r="O83" i="8"/>
  <c r="R83" i="8" s="1"/>
  <c r="M145" i="1"/>
  <c r="P145" i="1" s="1"/>
  <c r="H145" i="1"/>
  <c r="I145" i="1"/>
  <c r="J145" i="1"/>
  <c r="N145" i="1"/>
  <c r="Q145" i="1" s="1"/>
  <c r="O145" i="1"/>
  <c r="I82" i="8"/>
  <c r="K82" i="8"/>
  <c r="O82" i="8"/>
  <c r="R82" i="8" s="1"/>
  <c r="P82" i="8"/>
  <c r="Q82" i="8"/>
  <c r="C83" i="8" l="1"/>
  <c r="D83" i="8"/>
  <c r="C145" i="1"/>
  <c r="D145" i="1"/>
  <c r="D82" i="8"/>
  <c r="C82" i="8"/>
  <c r="C83" i="10" l="1"/>
  <c r="D34" i="3"/>
  <c r="C84" i="10"/>
  <c r="H144" i="1"/>
  <c r="I144" i="1"/>
  <c r="J144" i="1"/>
  <c r="N144" i="1"/>
  <c r="Q144" i="1" s="1"/>
  <c r="O144" i="1"/>
  <c r="M144" i="1"/>
  <c r="P144" i="1" s="1"/>
  <c r="D84" i="10" l="1"/>
  <c r="D35" i="3"/>
  <c r="D85" i="10"/>
  <c r="E36" i="3" s="1"/>
  <c r="C144" i="1"/>
  <c r="D144" i="1"/>
  <c r="I81" i="8"/>
  <c r="K81" i="8"/>
  <c r="Q81" i="8"/>
  <c r="O81" i="8"/>
  <c r="R81" i="8" s="1"/>
  <c r="P81" i="8"/>
  <c r="E35" i="3" l="1"/>
  <c r="C81" i="8"/>
  <c r="D81" i="8"/>
  <c r="N80" i="8"/>
  <c r="Q80" i="8" s="1"/>
  <c r="H143" i="1"/>
  <c r="I143" i="1"/>
  <c r="J143" i="1"/>
  <c r="N143" i="1"/>
  <c r="Q143" i="1" s="1"/>
  <c r="O143" i="1"/>
  <c r="N79" i="8"/>
  <c r="I80" i="8"/>
  <c r="K80" i="8"/>
  <c r="O80" i="8"/>
  <c r="R80" i="8" s="1"/>
  <c r="P80" i="8"/>
  <c r="M143" i="1" l="1"/>
  <c r="P143" i="1" s="1"/>
  <c r="D143" i="1" s="1"/>
  <c r="C82" i="10"/>
  <c r="C143" i="1"/>
  <c r="C80" i="8"/>
  <c r="D80" i="8"/>
  <c r="C81" i="10" l="1"/>
  <c r="D82" i="10" s="1"/>
  <c r="E33" i="3" s="1"/>
  <c r="D33" i="3"/>
  <c r="D83" i="10"/>
  <c r="E34" i="3" s="1"/>
  <c r="H142" i="1"/>
  <c r="I142" i="1"/>
  <c r="J142" i="1"/>
  <c r="M142" i="1"/>
  <c r="P142" i="1" s="1"/>
  <c r="N142" i="1"/>
  <c r="Q142" i="1" s="1"/>
  <c r="O142" i="1"/>
  <c r="C142" i="1" l="1"/>
  <c r="D142" i="1"/>
  <c r="Q79" i="8"/>
  <c r="K79" i="8"/>
  <c r="P79" i="8" l="1"/>
  <c r="I79" i="8"/>
  <c r="O79" i="8"/>
  <c r="R79" i="8" s="1"/>
  <c r="H141" i="1"/>
  <c r="I141" i="1"/>
  <c r="J141" i="1"/>
  <c r="N141" i="1"/>
  <c r="Q141" i="1" s="1"/>
  <c r="O141" i="1"/>
  <c r="N78" i="8"/>
  <c r="M141" i="1" s="1"/>
  <c r="P141" i="1" s="1"/>
  <c r="C79" i="8" l="1"/>
  <c r="D79" i="8"/>
  <c r="Q78" i="8"/>
  <c r="D141" i="1"/>
  <c r="C141" i="1"/>
  <c r="C80" i="10" l="1"/>
  <c r="D81" i="10" s="1"/>
  <c r="K78" i="8"/>
  <c r="K77" i="8"/>
  <c r="K76" i="8"/>
  <c r="P78" i="8" l="1"/>
  <c r="I78" i="8"/>
  <c r="O78" i="8"/>
  <c r="R78" i="8" s="1"/>
  <c r="C78" i="8" l="1"/>
  <c r="D78" i="8"/>
  <c r="P77" i="8"/>
  <c r="O77" i="8"/>
  <c r="C79" i="10" l="1"/>
  <c r="H140" i="1"/>
  <c r="I140" i="1"/>
  <c r="J140" i="1"/>
  <c r="N140" i="1"/>
  <c r="Q140" i="1" s="1"/>
  <c r="O140" i="1"/>
  <c r="N77" i="8"/>
  <c r="Q77" i="8" s="1"/>
  <c r="I77" i="8"/>
  <c r="R77" i="8"/>
  <c r="D80" i="10" l="1"/>
  <c r="M140" i="1"/>
  <c r="P140" i="1" s="1"/>
  <c r="D140" i="1" s="1"/>
  <c r="D77" i="8"/>
  <c r="C77" i="8"/>
  <c r="C140" i="1"/>
  <c r="C78" i="10" l="1"/>
  <c r="D79" i="10" s="1"/>
  <c r="M121" i="1"/>
  <c r="M122" i="1"/>
  <c r="M123" i="1"/>
  <c r="M124" i="1"/>
  <c r="N76" i="8"/>
  <c r="M139" i="1" s="1"/>
  <c r="Q76" i="8" l="1"/>
  <c r="H139" i="1"/>
  <c r="I139" i="1"/>
  <c r="J139" i="1"/>
  <c r="P139" i="1"/>
  <c r="N139" i="1"/>
  <c r="Q139" i="1" s="1"/>
  <c r="O139" i="1"/>
  <c r="C139" i="1" l="1"/>
  <c r="D139" i="1"/>
  <c r="P76" i="8"/>
  <c r="I76" i="8"/>
  <c r="C76" i="8" s="1"/>
  <c r="O76" i="8"/>
  <c r="R76" i="8" s="1"/>
  <c r="D76" i="8" l="1"/>
  <c r="N75" i="8"/>
  <c r="M138" i="1" s="1"/>
  <c r="C77" i="10" l="1"/>
  <c r="D78" i="10" s="1"/>
  <c r="H138" i="1"/>
  <c r="I138" i="1"/>
  <c r="J138" i="1"/>
  <c r="P138" i="1"/>
  <c r="N138" i="1"/>
  <c r="Q138" i="1" s="1"/>
  <c r="O138" i="1"/>
  <c r="I75" i="8"/>
  <c r="K75" i="8"/>
  <c r="Q75" i="8"/>
  <c r="O75" i="8"/>
  <c r="R75" i="8" s="1"/>
  <c r="P75" i="8"/>
  <c r="C138" i="1" l="1"/>
  <c r="D138" i="1"/>
  <c r="C75" i="8"/>
  <c r="D75" i="8"/>
  <c r="C76" i="10" l="1"/>
  <c r="D77" i="10" s="1"/>
  <c r="H137" i="1"/>
  <c r="I137" i="1"/>
  <c r="J137" i="1"/>
  <c r="N137" i="1"/>
  <c r="Q137" i="1" s="1"/>
  <c r="O137" i="1"/>
  <c r="H136" i="1"/>
  <c r="N74" i="8"/>
  <c r="M137" i="1" s="1"/>
  <c r="P137" i="1" s="1"/>
  <c r="C137" i="1" l="1"/>
  <c r="D137" i="1"/>
  <c r="I74" i="8"/>
  <c r="K74" i="8"/>
  <c r="O74" i="8"/>
  <c r="R74" i="8" s="1"/>
  <c r="P74" i="8"/>
  <c r="Q74" i="8"/>
  <c r="D74" i="8" l="1"/>
  <c r="C74" i="8"/>
  <c r="C75" i="10" l="1"/>
  <c r="D76" i="10" s="1"/>
  <c r="N73" i="8"/>
  <c r="M136" i="1" s="1"/>
  <c r="I136" i="1" l="1"/>
  <c r="J136" i="1"/>
  <c r="P136" i="1"/>
  <c r="N136" i="1"/>
  <c r="Q136" i="1" s="1"/>
  <c r="O136" i="1"/>
  <c r="D136" i="1" l="1"/>
  <c r="C136" i="1"/>
  <c r="P73" i="8"/>
  <c r="O73" i="8"/>
  <c r="R73" i="8" s="1"/>
  <c r="Q73" i="8"/>
  <c r="K73" i="8"/>
  <c r="I73" i="8"/>
  <c r="C73" i="8" l="1"/>
  <c r="D73" i="8"/>
  <c r="B10" i="3"/>
  <c r="C74" i="10" l="1"/>
  <c r="B11" i="3"/>
  <c r="G9" i="3"/>
  <c r="B12" i="3"/>
  <c r="D75" i="10" l="1"/>
  <c r="N72" i="8"/>
  <c r="M135" i="1" s="1"/>
  <c r="P135" i="1" s="1"/>
  <c r="O135" i="1"/>
  <c r="N135" i="1"/>
  <c r="Q135" i="1" s="1"/>
  <c r="J135" i="1"/>
  <c r="I135" i="1"/>
  <c r="H135" i="1"/>
  <c r="O134" i="1"/>
  <c r="N134" i="1"/>
  <c r="Q134" i="1" s="1"/>
  <c r="J134" i="1"/>
  <c r="I134" i="1"/>
  <c r="H134" i="1"/>
  <c r="H133" i="1"/>
  <c r="I133" i="1"/>
  <c r="J133" i="1"/>
  <c r="N133" i="1"/>
  <c r="Q133" i="1" s="1"/>
  <c r="O133" i="1"/>
  <c r="C135" i="1" l="1"/>
  <c r="C134" i="1"/>
  <c r="C133" i="1"/>
  <c r="D135" i="1"/>
  <c r="K72" i="8" l="1"/>
  <c r="E4" i="3" s="1"/>
  <c r="I72" i="8"/>
  <c r="C4" i="3" s="1"/>
  <c r="D4" i="3"/>
  <c r="Q72" i="8"/>
  <c r="D10" i="3" s="1"/>
  <c r="O72" i="8"/>
  <c r="R72" i="8" s="1"/>
  <c r="E10" i="3" s="1"/>
  <c r="P72" i="8"/>
  <c r="C10" i="3" s="1"/>
  <c r="C72" i="8" l="1"/>
  <c r="D72" i="8"/>
  <c r="F10" i="3" l="1"/>
  <c r="F4" i="3"/>
  <c r="C73" i="10"/>
  <c r="N70" i="8"/>
  <c r="M133" i="1" s="1"/>
  <c r="P133" i="1" s="1"/>
  <c r="D133" i="1" s="1"/>
  <c r="O70" i="8"/>
  <c r="K70" i="8"/>
  <c r="I70" i="8"/>
  <c r="K69" i="8"/>
  <c r="I69" i="8"/>
  <c r="K68" i="8"/>
  <c r="I68" i="8"/>
  <c r="K67" i="8"/>
  <c r="I67" i="8"/>
  <c r="K66" i="8"/>
  <c r="I66" i="8"/>
  <c r="K65" i="8"/>
  <c r="I65" i="8"/>
  <c r="K64" i="8"/>
  <c r="I64" i="8"/>
  <c r="K63" i="8"/>
  <c r="I63" i="8"/>
  <c r="K62" i="8"/>
  <c r="I62" i="8"/>
  <c r="K61" i="8"/>
  <c r="I61" i="8"/>
  <c r="K60" i="8"/>
  <c r="I60" i="8"/>
  <c r="K59" i="8"/>
  <c r="I59" i="8"/>
  <c r="K58" i="8"/>
  <c r="I58" i="8"/>
  <c r="K57" i="8"/>
  <c r="I57" i="8"/>
  <c r="K56" i="8"/>
  <c r="I56" i="8"/>
  <c r="K55" i="8"/>
  <c r="I55" i="8"/>
  <c r="K54" i="8"/>
  <c r="I54" i="8"/>
  <c r="K53" i="8"/>
  <c r="I53" i="8"/>
  <c r="K52" i="8"/>
  <c r="I52" i="8"/>
  <c r="K51" i="8"/>
  <c r="I51" i="8"/>
  <c r="K50" i="8"/>
  <c r="I50" i="8"/>
  <c r="K49" i="8"/>
  <c r="I49" i="8"/>
  <c r="K48" i="8"/>
  <c r="I48" i="8"/>
  <c r="K47" i="8"/>
  <c r="I47" i="8"/>
  <c r="K46" i="8"/>
  <c r="I46" i="8"/>
  <c r="K45" i="8"/>
  <c r="I45" i="8"/>
  <c r="K44" i="8"/>
  <c r="I44" i="8"/>
  <c r="K43" i="8"/>
  <c r="I43" i="8"/>
  <c r="K42" i="8"/>
  <c r="I42" i="8"/>
  <c r="K41" i="8"/>
  <c r="I41" i="8"/>
  <c r="K40" i="8"/>
  <c r="I40" i="8"/>
  <c r="K39" i="8"/>
  <c r="I39" i="8"/>
  <c r="K38" i="8"/>
  <c r="I38" i="8"/>
  <c r="K37" i="8"/>
  <c r="I37" i="8"/>
  <c r="K36" i="8"/>
  <c r="I36" i="8"/>
  <c r="K35" i="8"/>
  <c r="I35" i="8"/>
  <c r="K34" i="8"/>
  <c r="I34" i="8"/>
  <c r="K33" i="8"/>
  <c r="I33" i="8"/>
  <c r="K32" i="8"/>
  <c r="I32" i="8"/>
  <c r="K31" i="8"/>
  <c r="I31" i="8"/>
  <c r="K30" i="8"/>
  <c r="I30" i="8"/>
  <c r="K29" i="8"/>
  <c r="I29" i="8"/>
  <c r="K28" i="8"/>
  <c r="I28" i="8"/>
  <c r="K27" i="8"/>
  <c r="I27" i="8"/>
  <c r="K26" i="8"/>
  <c r="I26" i="8"/>
  <c r="K25" i="8"/>
  <c r="I25" i="8"/>
  <c r="K24" i="8"/>
  <c r="I24" i="8"/>
  <c r="K23" i="8"/>
  <c r="I23" i="8"/>
  <c r="K22" i="8"/>
  <c r="I22" i="8"/>
  <c r="K21" i="8"/>
  <c r="I21" i="8"/>
  <c r="K20" i="8"/>
  <c r="I20" i="8"/>
  <c r="K19" i="8"/>
  <c r="I19" i="8"/>
  <c r="K18" i="8"/>
  <c r="I18" i="8"/>
  <c r="K17" i="8"/>
  <c r="I17" i="8"/>
  <c r="K16" i="8"/>
  <c r="I16" i="8"/>
  <c r="K15" i="8"/>
  <c r="I15" i="8"/>
  <c r="K14" i="8"/>
  <c r="I14" i="8"/>
  <c r="K13" i="8"/>
  <c r="I13" i="8"/>
  <c r="K12" i="8"/>
  <c r="I12" i="8"/>
  <c r="K11" i="8"/>
  <c r="I11" i="8"/>
  <c r="K10" i="8"/>
  <c r="I10" i="8"/>
  <c r="K9" i="8"/>
  <c r="I9" i="8"/>
  <c r="P70" i="8"/>
  <c r="P69" i="8"/>
  <c r="P68" i="8"/>
  <c r="P67" i="8"/>
  <c r="P66" i="8"/>
  <c r="P65" i="8"/>
  <c r="P64" i="8"/>
  <c r="P63" i="8"/>
  <c r="P62" i="8"/>
  <c r="R61" i="8"/>
  <c r="Q61" i="8"/>
  <c r="P61" i="8"/>
  <c r="R60" i="8"/>
  <c r="Q60" i="8"/>
  <c r="P60" i="8"/>
  <c r="R59" i="8"/>
  <c r="Q59" i="8"/>
  <c r="P59" i="8"/>
  <c r="R58" i="8"/>
  <c r="Q58" i="8"/>
  <c r="P58" i="8"/>
  <c r="R57" i="8"/>
  <c r="Q57" i="8"/>
  <c r="P57" i="8"/>
  <c r="R56" i="8"/>
  <c r="Q56" i="8"/>
  <c r="P56" i="8"/>
  <c r="R55" i="8"/>
  <c r="Q55" i="8"/>
  <c r="P55" i="8"/>
  <c r="R54" i="8"/>
  <c r="Q54" i="8"/>
  <c r="P54" i="8"/>
  <c r="R53" i="8"/>
  <c r="Q53" i="8"/>
  <c r="P53" i="8"/>
  <c r="R52" i="8"/>
  <c r="Q52" i="8"/>
  <c r="P52" i="8"/>
  <c r="R51" i="8"/>
  <c r="Q51" i="8"/>
  <c r="P51" i="8"/>
  <c r="R50" i="8"/>
  <c r="Q50" i="8"/>
  <c r="P50" i="8"/>
  <c r="R49" i="8"/>
  <c r="Q49" i="8"/>
  <c r="P49" i="8"/>
  <c r="R48" i="8"/>
  <c r="Q48" i="8"/>
  <c r="P48" i="8"/>
  <c r="R47" i="8"/>
  <c r="Q47" i="8"/>
  <c r="P47" i="8"/>
  <c r="R46" i="8"/>
  <c r="Q46" i="8"/>
  <c r="P46" i="8"/>
  <c r="R45" i="8"/>
  <c r="Q45" i="8"/>
  <c r="P45" i="8"/>
  <c r="R44" i="8"/>
  <c r="Q44" i="8"/>
  <c r="P44" i="8"/>
  <c r="R43" i="8"/>
  <c r="Q43" i="8"/>
  <c r="P43" i="8"/>
  <c r="R42" i="8"/>
  <c r="Q42" i="8"/>
  <c r="P42" i="8"/>
  <c r="R41" i="8"/>
  <c r="Q41" i="8"/>
  <c r="P41" i="8"/>
  <c r="R40" i="8"/>
  <c r="Q40" i="8"/>
  <c r="P40" i="8"/>
  <c r="R39" i="8"/>
  <c r="Q39" i="8"/>
  <c r="P39" i="8"/>
  <c r="R38" i="8"/>
  <c r="Q38" i="8"/>
  <c r="P38" i="8"/>
  <c r="R37" i="8"/>
  <c r="Q37" i="8"/>
  <c r="P37" i="8"/>
  <c r="R36" i="8"/>
  <c r="Q36" i="8"/>
  <c r="P36" i="8"/>
  <c r="R35" i="8"/>
  <c r="Q35" i="8"/>
  <c r="P35" i="8"/>
  <c r="R34" i="8"/>
  <c r="Q34" i="8"/>
  <c r="P34" i="8"/>
  <c r="R33" i="8"/>
  <c r="Q33" i="8"/>
  <c r="P33" i="8"/>
  <c r="R32" i="8"/>
  <c r="Q32" i="8"/>
  <c r="P32" i="8"/>
  <c r="R31" i="8"/>
  <c r="Q31" i="8"/>
  <c r="P31" i="8"/>
  <c r="R30" i="8"/>
  <c r="Q30" i="8"/>
  <c r="P30" i="8"/>
  <c r="R29" i="8"/>
  <c r="Q29" i="8"/>
  <c r="P29" i="8"/>
  <c r="R28" i="8"/>
  <c r="Q28" i="8"/>
  <c r="P28" i="8"/>
  <c r="R27" i="8"/>
  <c r="Q27" i="8"/>
  <c r="P27" i="8"/>
  <c r="R26" i="8"/>
  <c r="Q26" i="8"/>
  <c r="P26" i="8"/>
  <c r="R25" i="8"/>
  <c r="Q25" i="8"/>
  <c r="P25" i="8"/>
  <c r="R24" i="8"/>
  <c r="Q24" i="8"/>
  <c r="P24" i="8"/>
  <c r="R23" i="8"/>
  <c r="Q23" i="8"/>
  <c r="P23" i="8"/>
  <c r="R22" i="8"/>
  <c r="Q22" i="8"/>
  <c r="P22" i="8"/>
  <c r="R21" i="8"/>
  <c r="Q21" i="8"/>
  <c r="P21" i="8"/>
  <c r="R20" i="8"/>
  <c r="Q20" i="8"/>
  <c r="P20" i="8"/>
  <c r="R19" i="8"/>
  <c r="Q19" i="8"/>
  <c r="P19" i="8"/>
  <c r="R18" i="8"/>
  <c r="Q18" i="8"/>
  <c r="P18" i="8"/>
  <c r="R17" i="8"/>
  <c r="Q17" i="8"/>
  <c r="P17" i="8"/>
  <c r="R16" i="8"/>
  <c r="Q16" i="8"/>
  <c r="P16" i="8"/>
  <c r="R15" i="8"/>
  <c r="Q15" i="8"/>
  <c r="P15" i="8"/>
  <c r="R14" i="8"/>
  <c r="Q14" i="8"/>
  <c r="P14" i="8"/>
  <c r="R13" i="8"/>
  <c r="Q13" i="8"/>
  <c r="P13" i="8"/>
  <c r="R12" i="8"/>
  <c r="Q12" i="8"/>
  <c r="P12" i="8"/>
  <c r="R11" i="8"/>
  <c r="Q11" i="8"/>
  <c r="P11" i="8"/>
  <c r="R10" i="8"/>
  <c r="Q10" i="8"/>
  <c r="P10" i="8"/>
  <c r="R9" i="8"/>
  <c r="Q9" i="8"/>
  <c r="P9" i="8"/>
  <c r="P71" i="8"/>
  <c r="C11" i="3" s="1"/>
  <c r="K71" i="8"/>
  <c r="E5" i="3" s="1"/>
  <c r="I71" i="8"/>
  <c r="C5" i="3" s="1"/>
  <c r="N71" i="8"/>
  <c r="D74" i="10" l="1"/>
  <c r="C12" i="3"/>
  <c r="Q70" i="8"/>
  <c r="C6" i="3"/>
  <c r="Q71" i="8"/>
  <c r="D11" i="3" s="1"/>
  <c r="M134" i="1"/>
  <c r="P134" i="1" s="1"/>
  <c r="D134" i="1" s="1"/>
  <c r="E6" i="3"/>
  <c r="O71" i="8"/>
  <c r="R71" i="8" s="1"/>
  <c r="E11" i="3" s="1"/>
  <c r="D5" i="3"/>
  <c r="D6" i="3" l="1"/>
  <c r="C71" i="8"/>
  <c r="D71" i="8"/>
  <c r="F11" i="3" l="1"/>
  <c r="G11" i="3" s="1"/>
  <c r="F5" i="3"/>
  <c r="G5" i="3" s="1"/>
  <c r="C72" i="10"/>
  <c r="N69" i="8"/>
  <c r="O69" i="8"/>
  <c r="R69" i="8" s="1"/>
  <c r="N68" i="8"/>
  <c r="O68" i="8"/>
  <c r="R68" i="8" s="1"/>
  <c r="N67" i="8"/>
  <c r="O67" i="8"/>
  <c r="R67" i="8" s="1"/>
  <c r="N66" i="8"/>
  <c r="O66" i="8"/>
  <c r="R66" i="8" s="1"/>
  <c r="E12" i="3" s="1"/>
  <c r="N65" i="8"/>
  <c r="O65" i="8"/>
  <c r="R65" i="8" s="1"/>
  <c r="N64" i="8"/>
  <c r="O64" i="8"/>
  <c r="R64" i="8" s="1"/>
  <c r="N63" i="8"/>
  <c r="O63" i="8"/>
  <c r="R63" i="8" s="1"/>
  <c r="N62" i="8"/>
  <c r="O62" i="8"/>
  <c r="R62" i="8" s="1"/>
  <c r="R70" i="8"/>
  <c r="K167" i="8"/>
  <c r="O132" i="1"/>
  <c r="I132" i="1"/>
  <c r="J132" i="1"/>
  <c r="H132" i="1"/>
  <c r="N132" i="1"/>
  <c r="Q132" i="1" s="1"/>
  <c r="H131" i="1"/>
  <c r="I131" i="1"/>
  <c r="J131" i="1"/>
  <c r="N131" i="1"/>
  <c r="Q131" i="1" s="1"/>
  <c r="O131" i="1"/>
  <c r="O130" i="1"/>
  <c r="I130" i="1"/>
  <c r="J130" i="1"/>
  <c r="H130" i="1"/>
  <c r="N130" i="1"/>
  <c r="Q130" i="1" s="1"/>
  <c r="H129" i="1"/>
  <c r="I129" i="1"/>
  <c r="J129" i="1"/>
  <c r="N129" i="1"/>
  <c r="Q129" i="1" s="1"/>
  <c r="O129" i="1"/>
  <c r="Q124" i="1"/>
  <c r="P124" i="1"/>
  <c r="Q123" i="1"/>
  <c r="P123" i="1"/>
  <c r="Q122" i="1"/>
  <c r="P122" i="1"/>
  <c r="D122" i="1" s="1"/>
  <c r="Q121" i="1"/>
  <c r="P121" i="1"/>
  <c r="Q120" i="1"/>
  <c r="P120" i="1"/>
  <c r="Q119" i="1"/>
  <c r="P119" i="1"/>
  <c r="Q118" i="1"/>
  <c r="P118" i="1"/>
  <c r="D118" i="1" s="1"/>
  <c r="Q117" i="1"/>
  <c r="P117" i="1"/>
  <c r="Q116" i="1"/>
  <c r="P116" i="1"/>
  <c r="Q115" i="1"/>
  <c r="P115" i="1"/>
  <c r="Q114" i="1"/>
  <c r="P114" i="1"/>
  <c r="D114" i="1" s="1"/>
  <c r="Q113" i="1"/>
  <c r="P113" i="1"/>
  <c r="Q112" i="1"/>
  <c r="P112" i="1"/>
  <c r="Q111" i="1"/>
  <c r="P111" i="1"/>
  <c r="Q110" i="1"/>
  <c r="P110" i="1"/>
  <c r="D110" i="1" s="1"/>
  <c r="Q109" i="1"/>
  <c r="P109" i="1"/>
  <c r="Q108" i="1"/>
  <c r="P108" i="1"/>
  <c r="Q107" i="1"/>
  <c r="P107" i="1"/>
  <c r="Q106" i="1"/>
  <c r="P106" i="1"/>
  <c r="D106" i="1" s="1"/>
  <c r="Q105" i="1"/>
  <c r="P105" i="1"/>
  <c r="Q104" i="1"/>
  <c r="P104" i="1"/>
  <c r="Q103" i="1"/>
  <c r="P103" i="1"/>
  <c r="Q102" i="1"/>
  <c r="P102" i="1"/>
  <c r="D102" i="1" s="1"/>
  <c r="Q101" i="1"/>
  <c r="P101" i="1"/>
  <c r="Q100" i="1"/>
  <c r="P100" i="1"/>
  <c r="Q99" i="1"/>
  <c r="P99" i="1"/>
  <c r="Q98" i="1"/>
  <c r="P98" i="1"/>
  <c r="D98" i="1" s="1"/>
  <c r="Q97" i="1"/>
  <c r="P97" i="1"/>
  <c r="Q96" i="1"/>
  <c r="P96" i="1"/>
  <c r="D96" i="1" s="1"/>
  <c r="Q95" i="1"/>
  <c r="P95" i="1"/>
  <c r="Q94" i="1"/>
  <c r="P94" i="1"/>
  <c r="D94" i="1" s="1"/>
  <c r="Q93" i="1"/>
  <c r="P93" i="1"/>
  <c r="Q92" i="1"/>
  <c r="P92" i="1"/>
  <c r="D92" i="1" s="1"/>
  <c r="Q91" i="1"/>
  <c r="P91" i="1"/>
  <c r="Q90" i="1"/>
  <c r="P90" i="1"/>
  <c r="D90" i="1" s="1"/>
  <c r="Q89" i="1"/>
  <c r="P89" i="1"/>
  <c r="Q88" i="1"/>
  <c r="P88" i="1"/>
  <c r="D88" i="1" s="1"/>
  <c r="Q87" i="1"/>
  <c r="P87" i="1"/>
  <c r="Q86" i="1"/>
  <c r="P86" i="1"/>
  <c r="D86" i="1" s="1"/>
  <c r="Q85" i="1"/>
  <c r="P85" i="1"/>
  <c r="Q84" i="1"/>
  <c r="P84" i="1"/>
  <c r="D84" i="1" s="1"/>
  <c r="Q83" i="1"/>
  <c r="P83" i="1"/>
  <c r="Q82" i="1"/>
  <c r="P82" i="1"/>
  <c r="D82" i="1" s="1"/>
  <c r="Q81" i="1"/>
  <c r="P81" i="1"/>
  <c r="Q80" i="1"/>
  <c r="P80" i="1"/>
  <c r="D80" i="1" s="1"/>
  <c r="Q79" i="1"/>
  <c r="P79" i="1"/>
  <c r="Q78" i="1"/>
  <c r="P78" i="1"/>
  <c r="D78" i="1" s="1"/>
  <c r="Q77" i="1"/>
  <c r="P77" i="1"/>
  <c r="Q76" i="1"/>
  <c r="P76" i="1"/>
  <c r="D76" i="1" s="1"/>
  <c r="Q75" i="1"/>
  <c r="P75" i="1"/>
  <c r="Q74" i="1"/>
  <c r="P74" i="1"/>
  <c r="D74" i="1" s="1"/>
  <c r="Q73" i="1"/>
  <c r="P73" i="1"/>
  <c r="Q72" i="1"/>
  <c r="P72" i="1"/>
  <c r="D72" i="1" s="1"/>
  <c r="Q71" i="1"/>
  <c r="P71" i="1"/>
  <c r="Q70" i="1"/>
  <c r="P70" i="1"/>
  <c r="D70" i="1" s="1"/>
  <c r="Q69" i="1"/>
  <c r="P69" i="1"/>
  <c r="Q68" i="1"/>
  <c r="P68" i="1"/>
  <c r="D68" i="1" s="1"/>
  <c r="Q67" i="1"/>
  <c r="P67" i="1"/>
  <c r="Q66" i="1"/>
  <c r="P66" i="1"/>
  <c r="D66" i="1" s="1"/>
  <c r="Q65" i="1"/>
  <c r="P65" i="1"/>
  <c r="Q64" i="1"/>
  <c r="P64" i="1"/>
  <c r="D64" i="1" s="1"/>
  <c r="Q63" i="1"/>
  <c r="P63" i="1"/>
  <c r="Q62" i="1"/>
  <c r="P62" i="1"/>
  <c r="D62" i="1" s="1"/>
  <c r="Q61" i="1"/>
  <c r="P61" i="1"/>
  <c r="Q60" i="1"/>
  <c r="P60" i="1"/>
  <c r="D60" i="1" s="1"/>
  <c r="Q59" i="1"/>
  <c r="P59" i="1"/>
  <c r="Q58" i="1"/>
  <c r="P58" i="1"/>
  <c r="D58" i="1" s="1"/>
  <c r="Q57" i="1"/>
  <c r="P57" i="1"/>
  <c r="Q56" i="1"/>
  <c r="P56" i="1"/>
  <c r="D56" i="1" s="1"/>
  <c r="Q55" i="1"/>
  <c r="P55" i="1"/>
  <c r="Q54" i="1"/>
  <c r="P54" i="1"/>
  <c r="D54" i="1" s="1"/>
  <c r="Q53" i="1"/>
  <c r="P53" i="1"/>
  <c r="Q52" i="1"/>
  <c r="P52" i="1"/>
  <c r="D52" i="1" s="1"/>
  <c r="Q51" i="1"/>
  <c r="P51" i="1"/>
  <c r="Q50" i="1"/>
  <c r="P50" i="1"/>
  <c r="D50" i="1" s="1"/>
  <c r="Q49" i="1"/>
  <c r="P49" i="1"/>
  <c r="Q48" i="1"/>
  <c r="P48" i="1"/>
  <c r="D48" i="1" s="1"/>
  <c r="Q47" i="1"/>
  <c r="P47" i="1"/>
  <c r="Q46" i="1"/>
  <c r="P46" i="1"/>
  <c r="D46" i="1" s="1"/>
  <c r="Q45" i="1"/>
  <c r="P45" i="1"/>
  <c r="Q44" i="1"/>
  <c r="P44" i="1"/>
  <c r="D44" i="1" s="1"/>
  <c r="Q43" i="1"/>
  <c r="P43" i="1"/>
  <c r="Q42" i="1"/>
  <c r="P42" i="1"/>
  <c r="D42" i="1" s="1"/>
  <c r="Q41" i="1"/>
  <c r="P41" i="1"/>
  <c r="Q40" i="1"/>
  <c r="P40" i="1"/>
  <c r="D40" i="1" s="1"/>
  <c r="Q39" i="1"/>
  <c r="P39" i="1"/>
  <c r="Q38" i="1"/>
  <c r="P38" i="1"/>
  <c r="D38" i="1" s="1"/>
  <c r="Q37" i="1"/>
  <c r="P37" i="1"/>
  <c r="Q36" i="1"/>
  <c r="P36" i="1"/>
  <c r="D36" i="1" s="1"/>
  <c r="Q35" i="1"/>
  <c r="P35" i="1"/>
  <c r="Q34" i="1"/>
  <c r="P34" i="1"/>
  <c r="D34" i="1" s="1"/>
  <c r="Q33" i="1"/>
  <c r="P33" i="1"/>
  <c r="Q32" i="1"/>
  <c r="P32" i="1"/>
  <c r="Q31" i="1"/>
  <c r="P31" i="1"/>
  <c r="Q30" i="1"/>
  <c r="P30" i="1"/>
  <c r="D30" i="1" s="1"/>
  <c r="Q29" i="1"/>
  <c r="P29" i="1"/>
  <c r="Q28" i="1"/>
  <c r="P28" i="1"/>
  <c r="Q27" i="1"/>
  <c r="P27" i="1"/>
  <c r="Q26" i="1"/>
  <c r="P26" i="1"/>
  <c r="D26" i="1" s="1"/>
  <c r="Q25" i="1"/>
  <c r="P25" i="1"/>
  <c r="Q24" i="1"/>
  <c r="P24" i="1"/>
  <c r="Q23" i="1"/>
  <c r="P23" i="1"/>
  <c r="Q22" i="1"/>
  <c r="P22" i="1"/>
  <c r="D22" i="1" s="1"/>
  <c r="Q21" i="1"/>
  <c r="P21" i="1"/>
  <c r="Q20" i="1"/>
  <c r="P20" i="1"/>
  <c r="Q19" i="1"/>
  <c r="P19" i="1"/>
  <c r="Q18" i="1"/>
  <c r="P18" i="1"/>
  <c r="D18" i="1" s="1"/>
  <c r="Q17" i="1"/>
  <c r="P17" i="1"/>
  <c r="Q16" i="1"/>
  <c r="P16" i="1"/>
  <c r="Q15" i="1"/>
  <c r="P15" i="1"/>
  <c r="Q14" i="1"/>
  <c r="P14" i="1"/>
  <c r="D14" i="1" s="1"/>
  <c r="Q13" i="1"/>
  <c r="P13" i="1"/>
  <c r="Q12" i="1"/>
  <c r="P12" i="1"/>
  <c r="Q11" i="1"/>
  <c r="P11" i="1"/>
  <c r="Q10" i="1"/>
  <c r="P10" i="1"/>
  <c r="D10" i="1" s="1"/>
  <c r="Q9" i="1"/>
  <c r="P9"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57" i="1"/>
  <c r="I57" i="1"/>
  <c r="J57" i="1"/>
  <c r="H58" i="1"/>
  <c r="I58" i="1"/>
  <c r="J58" i="1"/>
  <c r="H59" i="1"/>
  <c r="I59" i="1"/>
  <c r="J59" i="1"/>
  <c r="H60" i="1"/>
  <c r="I60" i="1"/>
  <c r="J60" i="1"/>
  <c r="H61" i="1"/>
  <c r="I61" i="1"/>
  <c r="J61" i="1"/>
  <c r="H62" i="1"/>
  <c r="I62" i="1"/>
  <c r="J62" i="1"/>
  <c r="H63" i="1"/>
  <c r="I63" i="1"/>
  <c r="J63" i="1"/>
  <c r="H64" i="1"/>
  <c r="I64" i="1"/>
  <c r="J64" i="1"/>
  <c r="H65" i="1"/>
  <c r="I65" i="1"/>
  <c r="J65" i="1"/>
  <c r="H66" i="1"/>
  <c r="I66" i="1"/>
  <c r="J66" i="1"/>
  <c r="H67" i="1"/>
  <c r="I67" i="1"/>
  <c r="J67" i="1"/>
  <c r="H68" i="1"/>
  <c r="I68" i="1"/>
  <c r="J68"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94" i="1"/>
  <c r="I94" i="1"/>
  <c r="J94" i="1"/>
  <c r="H95" i="1"/>
  <c r="I95" i="1"/>
  <c r="J95" i="1"/>
  <c r="H96" i="1"/>
  <c r="I96" i="1"/>
  <c r="J96" i="1"/>
  <c r="H97" i="1"/>
  <c r="I97" i="1"/>
  <c r="J97" i="1"/>
  <c r="H98" i="1"/>
  <c r="I98" i="1"/>
  <c r="J98" i="1"/>
  <c r="H99" i="1"/>
  <c r="I99" i="1"/>
  <c r="J99" i="1"/>
  <c r="H100" i="1"/>
  <c r="I100" i="1"/>
  <c r="J100" i="1"/>
  <c r="H101" i="1"/>
  <c r="I101" i="1"/>
  <c r="J101" i="1"/>
  <c r="H102" i="1"/>
  <c r="I102" i="1"/>
  <c r="J102" i="1"/>
  <c r="H103" i="1"/>
  <c r="I103" i="1"/>
  <c r="J103" i="1"/>
  <c r="H104" i="1"/>
  <c r="I104" i="1"/>
  <c r="J104" i="1"/>
  <c r="H105" i="1"/>
  <c r="I105" i="1"/>
  <c r="J105" i="1"/>
  <c r="H106" i="1"/>
  <c r="I106" i="1"/>
  <c r="J106" i="1"/>
  <c r="H107" i="1"/>
  <c r="I107" i="1"/>
  <c r="J107" i="1"/>
  <c r="H108" i="1"/>
  <c r="I108" i="1"/>
  <c r="J108" i="1"/>
  <c r="H109" i="1"/>
  <c r="I109" i="1"/>
  <c r="J109" i="1"/>
  <c r="H110" i="1"/>
  <c r="I110" i="1"/>
  <c r="J110" i="1"/>
  <c r="H111" i="1"/>
  <c r="I111" i="1"/>
  <c r="J111" i="1"/>
  <c r="H112" i="1"/>
  <c r="I112" i="1"/>
  <c r="J112" i="1"/>
  <c r="H113" i="1"/>
  <c r="I113" i="1"/>
  <c r="J113" i="1"/>
  <c r="H114" i="1"/>
  <c r="I114" i="1"/>
  <c r="J114" i="1"/>
  <c r="H115" i="1"/>
  <c r="I115" i="1"/>
  <c r="J115" i="1"/>
  <c r="H116" i="1"/>
  <c r="I116" i="1"/>
  <c r="J116" i="1"/>
  <c r="H117" i="1"/>
  <c r="I117" i="1"/>
  <c r="J117" i="1"/>
  <c r="H118" i="1"/>
  <c r="I118" i="1"/>
  <c r="J118" i="1"/>
  <c r="H119" i="1"/>
  <c r="I119" i="1"/>
  <c r="J119" i="1"/>
  <c r="H120" i="1"/>
  <c r="I120" i="1"/>
  <c r="J120" i="1"/>
  <c r="H121" i="1"/>
  <c r="I121" i="1"/>
  <c r="J121" i="1"/>
  <c r="H122" i="1"/>
  <c r="I122" i="1"/>
  <c r="J122" i="1"/>
  <c r="H123" i="1"/>
  <c r="I123" i="1"/>
  <c r="J123" i="1"/>
  <c r="H124" i="1"/>
  <c r="I124" i="1"/>
  <c r="J124" i="1"/>
  <c r="H125" i="1"/>
  <c r="I125" i="1"/>
  <c r="J125" i="1"/>
  <c r="H126" i="1"/>
  <c r="I126" i="1"/>
  <c r="J126" i="1"/>
  <c r="H127" i="1"/>
  <c r="I127" i="1"/>
  <c r="J127" i="1"/>
  <c r="H128" i="1"/>
  <c r="I128" i="1"/>
  <c r="J128" i="1"/>
  <c r="N128" i="1"/>
  <c r="Q128" i="1" s="1"/>
  <c r="O128" i="1"/>
  <c r="N127" i="1"/>
  <c r="Q127" i="1" s="1"/>
  <c r="O127" i="1"/>
  <c r="N126" i="1"/>
  <c r="Q126" i="1" s="1"/>
  <c r="O126" i="1"/>
  <c r="O125" i="1"/>
  <c r="N125" i="1"/>
  <c r="Q125" i="1" s="1"/>
  <c r="B25" i="3"/>
  <c r="C25" i="3" s="1"/>
  <c r="B21" i="3"/>
  <c r="B20" i="3"/>
  <c r="E19" i="3"/>
  <c r="D19" i="3"/>
  <c r="G18" i="3"/>
  <c r="J182" i="1"/>
  <c r="C53" i="1" l="1"/>
  <c r="D100" i="1"/>
  <c r="D104" i="1"/>
  <c r="D108" i="1"/>
  <c r="D112" i="1"/>
  <c r="D116" i="1"/>
  <c r="D120" i="1"/>
  <c r="D73" i="10"/>
  <c r="D124" i="1"/>
  <c r="C27" i="1"/>
  <c r="C122" i="1"/>
  <c r="C21" i="3"/>
  <c r="C126" i="1"/>
  <c r="C85" i="1"/>
  <c r="C105" i="1"/>
  <c r="C97" i="1"/>
  <c r="C89" i="1"/>
  <c r="C81" i="1"/>
  <c r="C73" i="1"/>
  <c r="C65" i="1"/>
  <c r="C57" i="1"/>
  <c r="C49" i="1"/>
  <c r="C41" i="1"/>
  <c r="C33" i="1"/>
  <c r="C25" i="1"/>
  <c r="C17" i="1"/>
  <c r="C9" i="1"/>
  <c r="C93" i="1"/>
  <c r="C61" i="1"/>
  <c r="C114" i="1"/>
  <c r="C127" i="1"/>
  <c r="Q63" i="8"/>
  <c r="M126" i="1"/>
  <c r="P126" i="1" s="1"/>
  <c r="D126" i="1" s="1"/>
  <c r="Q67" i="8"/>
  <c r="M130" i="1"/>
  <c r="P130" i="1" s="1"/>
  <c r="D130" i="1" s="1"/>
  <c r="Q66" i="8"/>
  <c r="D12" i="3" s="1"/>
  <c r="M129" i="1"/>
  <c r="P129" i="1" s="1"/>
  <c r="D129" i="1" s="1"/>
  <c r="D12" i="1"/>
  <c r="D16" i="1"/>
  <c r="D20" i="1"/>
  <c r="D24" i="1"/>
  <c r="D28" i="1"/>
  <c r="D32" i="1"/>
  <c r="Q64" i="8"/>
  <c r="M127" i="1"/>
  <c r="P127" i="1" s="1"/>
  <c r="D127" i="1" s="1"/>
  <c r="Q68" i="8"/>
  <c r="M131" i="1"/>
  <c r="P131" i="1" s="1"/>
  <c r="D131" i="1" s="1"/>
  <c r="Q62" i="8"/>
  <c r="M125" i="1"/>
  <c r="P125" i="1" s="1"/>
  <c r="D125" i="1" s="1"/>
  <c r="C118" i="1"/>
  <c r="C110" i="1"/>
  <c r="D17" i="1"/>
  <c r="D109" i="1"/>
  <c r="C125" i="1"/>
  <c r="C101" i="1"/>
  <c r="C77" i="1"/>
  <c r="C69" i="1"/>
  <c r="C45" i="1"/>
  <c r="C37" i="1"/>
  <c r="C29" i="1"/>
  <c r="C21" i="1"/>
  <c r="C13" i="1"/>
  <c r="Q65" i="8"/>
  <c r="M128" i="1"/>
  <c r="P128" i="1" s="1"/>
  <c r="D128" i="1" s="1"/>
  <c r="Q69" i="8"/>
  <c r="M132" i="1"/>
  <c r="P132" i="1" s="1"/>
  <c r="D132" i="1" s="1"/>
  <c r="G24" i="3"/>
  <c r="E25" i="3"/>
  <c r="D20" i="3"/>
  <c r="F20" i="3"/>
  <c r="D57" i="1"/>
  <c r="D59" i="1"/>
  <c r="D61" i="1"/>
  <c r="D63" i="1"/>
  <c r="D65" i="1"/>
  <c r="D67" i="1"/>
  <c r="D69" i="1"/>
  <c r="D71" i="1"/>
  <c r="D73" i="1"/>
  <c r="D75" i="1"/>
  <c r="D77" i="1"/>
  <c r="D79" i="1"/>
  <c r="D81" i="1"/>
  <c r="D83" i="1"/>
  <c r="D85" i="1"/>
  <c r="D87" i="1"/>
  <c r="D89" i="1"/>
  <c r="D91" i="1"/>
  <c r="D93" i="1"/>
  <c r="D95" i="1"/>
  <c r="D97" i="1"/>
  <c r="D99" i="1"/>
  <c r="D101" i="1"/>
  <c r="D103" i="1"/>
  <c r="D105" i="1"/>
  <c r="D107" i="1"/>
  <c r="D111" i="1"/>
  <c r="D113" i="1"/>
  <c r="D115" i="1"/>
  <c r="D117" i="1"/>
  <c r="D119" i="1"/>
  <c r="D121" i="1"/>
  <c r="D123" i="1"/>
  <c r="C129" i="1"/>
  <c r="C131" i="1"/>
  <c r="C124" i="1"/>
  <c r="C119" i="1"/>
  <c r="C116" i="1"/>
  <c r="C107" i="1"/>
  <c r="C100" i="1"/>
  <c r="C99" i="1"/>
  <c r="C92" i="1"/>
  <c r="C87" i="1"/>
  <c r="C84" i="1"/>
  <c r="C83" i="1"/>
  <c r="C76" i="1"/>
  <c r="C71" i="1"/>
  <c r="C67" i="1"/>
  <c r="C63" i="1"/>
  <c r="C55" i="1"/>
  <c r="C51" i="1"/>
  <c r="C44" i="1"/>
  <c r="C43" i="1"/>
  <c r="C35" i="1"/>
  <c r="C19" i="1"/>
  <c r="C15" i="1"/>
  <c r="C11" i="1"/>
  <c r="D45" i="1"/>
  <c r="D49" i="1"/>
  <c r="D55" i="1"/>
  <c r="C123" i="1"/>
  <c r="C120" i="1"/>
  <c r="C115" i="1"/>
  <c r="C112" i="1"/>
  <c r="C111" i="1"/>
  <c r="C108" i="1"/>
  <c r="C103" i="1"/>
  <c r="C95" i="1"/>
  <c r="C91" i="1"/>
  <c r="C79" i="1"/>
  <c r="C75" i="1"/>
  <c r="C68" i="1"/>
  <c r="C60" i="1"/>
  <c r="C59" i="1"/>
  <c r="C52" i="1"/>
  <c r="C47" i="1"/>
  <c r="C39" i="1"/>
  <c r="C36" i="1"/>
  <c r="C31" i="1"/>
  <c r="C28" i="1"/>
  <c r="C23" i="1"/>
  <c r="C20" i="1"/>
  <c r="C12" i="1"/>
  <c r="D9" i="1"/>
  <c r="D11" i="1"/>
  <c r="D13" i="1"/>
  <c r="D15" i="1"/>
  <c r="D19" i="1"/>
  <c r="D21" i="1"/>
  <c r="D23" i="1"/>
  <c r="D25" i="1"/>
  <c r="D27" i="1"/>
  <c r="D29" i="1"/>
  <c r="D31" i="1"/>
  <c r="D33" i="1"/>
  <c r="D35" i="1"/>
  <c r="D37" i="1"/>
  <c r="D39" i="1"/>
  <c r="D41" i="1"/>
  <c r="D43" i="1"/>
  <c r="D47" i="1"/>
  <c r="D51" i="1"/>
  <c r="D53" i="1"/>
  <c r="B27" i="3"/>
  <c r="C27" i="3" s="1"/>
  <c r="B26" i="3"/>
  <c r="D26" i="3" s="1"/>
  <c r="C20" i="3"/>
  <c r="D21" i="3"/>
  <c r="E21" i="3"/>
  <c r="E20" i="3"/>
  <c r="F19" i="3"/>
  <c r="C19" i="3"/>
  <c r="C117" i="1"/>
  <c r="C109" i="1"/>
  <c r="C106" i="1"/>
  <c r="C98" i="1"/>
  <c r="C90" i="1"/>
  <c r="C82" i="1"/>
  <c r="C74" i="1"/>
  <c r="C66" i="1"/>
  <c r="C58" i="1"/>
  <c r="C50" i="1"/>
  <c r="C42" i="1"/>
  <c r="C34" i="1"/>
  <c r="C26" i="1"/>
  <c r="C18" i="1"/>
  <c r="C10" i="1"/>
  <c r="C132" i="1"/>
  <c r="C121" i="1"/>
  <c r="C113" i="1"/>
  <c r="C128" i="1"/>
  <c r="C104" i="1"/>
  <c r="C102" i="1"/>
  <c r="C96" i="1"/>
  <c r="C94" i="1"/>
  <c r="C88" i="1"/>
  <c r="C86" i="1"/>
  <c r="C80" i="1"/>
  <c r="C78" i="1"/>
  <c r="C72" i="1"/>
  <c r="C70" i="1"/>
  <c r="C64" i="1"/>
  <c r="C62" i="1"/>
  <c r="C56" i="1"/>
  <c r="C54" i="1"/>
  <c r="C48" i="1"/>
  <c r="C46" i="1"/>
  <c r="C40" i="1"/>
  <c r="C38" i="1"/>
  <c r="C32" i="1"/>
  <c r="C30" i="1"/>
  <c r="C24" i="1"/>
  <c r="C22" i="1"/>
  <c r="C16" i="1"/>
  <c r="C14" i="1"/>
  <c r="C130" i="1"/>
  <c r="D25" i="3"/>
  <c r="F21" i="3" l="1"/>
  <c r="G21" i="3" s="1"/>
  <c r="C26" i="3"/>
  <c r="F27" i="3"/>
  <c r="E27" i="3"/>
  <c r="D27" i="3"/>
  <c r="E26" i="3"/>
  <c r="G20" i="3"/>
  <c r="F25" i="3"/>
  <c r="F26" i="3"/>
  <c r="D70" i="8"/>
  <c r="D69" i="8"/>
  <c r="F28" i="3" l="1"/>
  <c r="G27" i="3"/>
  <c r="G26" i="3"/>
  <c r="D68" i="8"/>
  <c r="D67" i="8" l="1"/>
  <c r="D66" i="8" l="1"/>
  <c r="D65" i="8" l="1"/>
  <c r="D64" i="8" l="1"/>
  <c r="D63" i="8" l="1"/>
  <c r="D62" i="8" l="1"/>
  <c r="D61" i="8" l="1"/>
  <c r="D60" i="8" l="1"/>
  <c r="F12" i="3" l="1"/>
  <c r="G12" i="3" s="1"/>
  <c r="D59" i="8"/>
  <c r="D58" i="8" l="1"/>
  <c r="D57" i="8" l="1"/>
  <c r="D56" i="8" l="1"/>
  <c r="D55" i="8" l="1"/>
  <c r="D54" i="8" l="1"/>
  <c r="D53" i="8" l="1"/>
  <c r="D52" i="8" l="1"/>
  <c r="D51" i="8" l="1"/>
  <c r="D50" i="8" l="1"/>
  <c r="D49" i="8" l="1"/>
  <c r="D48" i="8" l="1"/>
  <c r="D47" i="8" l="1"/>
  <c r="D46" i="8" l="1"/>
  <c r="D45" i="8" l="1"/>
  <c r="D44" i="8" l="1"/>
  <c r="D43" i="8" l="1"/>
  <c r="D42" i="8" l="1"/>
  <c r="D41" i="8" l="1"/>
  <c r="D40" i="8" l="1"/>
  <c r="D39" i="8" l="1"/>
  <c r="D38" i="8" l="1"/>
  <c r="D37" i="8" l="1"/>
  <c r="D36" i="8" l="1"/>
  <c r="D35" i="8" l="1"/>
  <c r="D34" i="8" l="1"/>
  <c r="D33" i="8" l="1"/>
  <c r="D32" i="8" l="1"/>
  <c r="D31" i="8" l="1"/>
  <c r="D30" i="8" l="1"/>
  <c r="D29" i="8" l="1"/>
  <c r="D28" i="8" l="1"/>
  <c r="D27" i="8" l="1"/>
  <c r="D26" i="8" l="1"/>
  <c r="D25" i="8" l="1"/>
  <c r="D24" i="8" l="1"/>
  <c r="D23" i="8" l="1"/>
  <c r="D22" i="8" l="1"/>
  <c r="D21" i="8" l="1"/>
  <c r="D20" i="8" l="1"/>
  <c r="D19" i="8" l="1"/>
  <c r="D18" i="8" l="1"/>
  <c r="D17" i="8" l="1"/>
  <c r="D16" i="8" l="1"/>
  <c r="D15" i="8" l="1"/>
  <c r="D14" i="8" l="1"/>
  <c r="D13" i="8" l="1"/>
  <c r="D12" i="8" l="1"/>
  <c r="D11" i="8" l="1"/>
  <c r="D10" i="8" l="1"/>
  <c r="D9" i="8" l="1"/>
  <c r="C70" i="8" l="1"/>
  <c r="C71" i="10" l="1"/>
  <c r="D72" i="10" s="1"/>
  <c r="C69" i="8"/>
  <c r="C70" i="10" l="1"/>
  <c r="D71" i="10" s="1"/>
  <c r="C68" i="8"/>
  <c r="C69" i="10" l="1"/>
  <c r="D70" i="10" s="1"/>
  <c r="C67" i="8"/>
  <c r="C68" i="10" l="1"/>
  <c r="D69" i="10" s="1"/>
  <c r="C66" i="8"/>
  <c r="C67" i="10" l="1"/>
  <c r="D68" i="10" s="1"/>
  <c r="C65" i="8"/>
  <c r="C66" i="10" l="1"/>
  <c r="D67" i="10" s="1"/>
  <c r="C64" i="8"/>
  <c r="C65" i="10" l="1"/>
  <c r="D66" i="10" s="1"/>
  <c r="C63" i="8"/>
  <c r="C64" i="10" l="1"/>
  <c r="D65" i="10" s="1"/>
  <c r="C62" i="8"/>
  <c r="C63" i="10" l="1"/>
  <c r="D64" i="10" s="1"/>
  <c r="C61" i="8"/>
  <c r="C62" i="10" l="1"/>
  <c r="D63" i="10" s="1"/>
  <c r="C60" i="8"/>
  <c r="F6" i="3" l="1"/>
  <c r="G6" i="3" s="1"/>
  <c r="C61" i="10"/>
  <c r="C59" i="8"/>
  <c r="C60" i="10" l="1"/>
  <c r="D61" i="10" s="1"/>
  <c r="D62" i="10"/>
  <c r="C58" i="8"/>
  <c r="C59" i="10" l="1"/>
  <c r="D60" i="10" s="1"/>
  <c r="C57" i="8"/>
  <c r="C58" i="10" l="1"/>
  <c r="D59" i="10" s="1"/>
  <c r="C56" i="8"/>
  <c r="C57" i="10" l="1"/>
  <c r="D58" i="10" s="1"/>
  <c r="C55" i="8"/>
  <c r="C56" i="10" l="1"/>
  <c r="D57" i="10" s="1"/>
  <c r="C54" i="8"/>
  <c r="C55" i="10" l="1"/>
  <c r="D56" i="10" s="1"/>
  <c r="C53" i="8"/>
  <c r="C54" i="10" l="1"/>
  <c r="D55" i="10" s="1"/>
  <c r="C52" i="8"/>
  <c r="C53" i="10" l="1"/>
  <c r="D54" i="10" s="1"/>
  <c r="C51" i="8"/>
  <c r="C52" i="10" l="1"/>
  <c r="D52" i="10" s="1"/>
  <c r="C50" i="8"/>
  <c r="D53" i="10" l="1"/>
  <c r="C49" i="8"/>
  <c r="C48" i="8" l="1"/>
  <c r="C47" i="8" l="1"/>
  <c r="C46" i="8" l="1"/>
  <c r="C45" i="8" l="1"/>
  <c r="C44" i="8" l="1"/>
  <c r="C43" i="8" l="1"/>
  <c r="C42" i="8" l="1"/>
  <c r="C41" i="8" l="1"/>
  <c r="C40" i="8" l="1"/>
  <c r="C39" i="8" l="1"/>
  <c r="C38" i="8" l="1"/>
  <c r="C37" i="8" l="1"/>
  <c r="C36" i="8" l="1"/>
  <c r="C35" i="8" l="1"/>
  <c r="C34" i="8" l="1"/>
  <c r="C33" i="8" l="1"/>
  <c r="C32" i="8" l="1"/>
  <c r="C31" i="8" l="1"/>
  <c r="C30" i="8" l="1"/>
  <c r="C29" i="8" l="1"/>
  <c r="C28" i="8" l="1"/>
  <c r="C27" i="8" l="1"/>
  <c r="C26" i="8" l="1"/>
  <c r="C25" i="8" l="1"/>
  <c r="C24" i="8" l="1"/>
  <c r="C23" i="8" l="1"/>
  <c r="C22" i="8" l="1"/>
  <c r="C21" i="8" l="1"/>
  <c r="C20" i="8" l="1"/>
  <c r="C19" i="8" l="1"/>
  <c r="C18" i="8" l="1"/>
  <c r="C17" i="8" l="1"/>
  <c r="C16" i="8" l="1"/>
  <c r="C15" i="8" l="1"/>
  <c r="C14" i="8" l="1"/>
  <c r="C13" i="8" l="1"/>
  <c r="C12" i="8" l="1"/>
  <c r="C11" i="8" l="1"/>
  <c r="C10" i="8" l="1"/>
  <c r="C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tc={50891D3F-313B-4BFC-9690-52A13416C845}</author>
  </authors>
  <commentList>
    <comment ref="N139" authorId="0" shapeId="0" xr:uid="{50891D3F-313B-4BFC-9690-52A13416C845}">
      <text>
        <t>[Threaded comment]
Your version of Excel allows you to read this threaded comment; however, any edits to it will get removed if the file is opened in a newer version of Excel. Learn more: https://go.microsoft.com/fwlink/?linkid=870924
Comment:
    Data only to 15th feb</t>
      </text>
    </comment>
  </commentList>
</comments>
</file>

<file path=xl/sharedStrings.xml><?xml version="1.0" encoding="utf-8"?>
<sst xmlns="http://schemas.openxmlformats.org/spreadsheetml/2006/main" count="159" uniqueCount="67">
  <si>
    <t>Actual Milk Price Equivalent (AMPE) and Milk for Cheese Value Equivalent (MCVE)</t>
  </si>
  <si>
    <t>ppl</t>
  </si>
  <si>
    <t>Butter</t>
  </si>
  <si>
    <t>SMP</t>
  </si>
  <si>
    <t xml:space="preserve">Butter </t>
  </si>
  <si>
    <t>BMP</t>
  </si>
  <si>
    <t>£/t</t>
  </si>
  <si>
    <t>Mild Cheddar</t>
  </si>
  <si>
    <t>est. Whey butter</t>
  </si>
  <si>
    <t>Whey powder</t>
  </si>
  <si>
    <t>Change to</t>
  </si>
  <si>
    <t xml:space="preserve">Source: AHDB </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</si>
  <si>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</si>
  <si>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</si>
  <si>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</si>
  <si>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</si>
  <si>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</si>
  <si>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</si>
  <si>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</si>
  <si>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ahdb.org.uk</t>
  </si>
  <si>
    <t>For months where there has been a lack of an accurate, average price for mild Cheddar, MCVE has been calculated on the basis of indicative offer prices, rather than prices reflecting completed deals. In all cases, spot prices are used which do not include prices achieved on contracted sales (which typically make up the majority of cheese sales)</t>
  </si>
  <si>
    <t>Notes</t>
  </si>
  <si>
    <r>
      <rPr>
        <b/>
        <sz val="12"/>
        <color rgb="FF575756"/>
        <rFont val="Arial"/>
        <family val="2"/>
      </rPr>
      <t xml:space="preserve">Source: </t>
    </r>
    <r>
      <rPr>
        <sz val="12"/>
        <color rgb="FF575756"/>
        <rFont val="Arial"/>
        <family val="2"/>
      </rPr>
      <t>AHDB</t>
    </r>
  </si>
  <si>
    <t>Head office address</t>
  </si>
  <si>
    <t xml:space="preserve">mi@ahdb.org.uk  </t>
  </si>
  <si>
    <t>AMPE components</t>
  </si>
  <si>
    <t>MCVE components</t>
  </si>
  <si>
    <r>
      <rPr>
        <b/>
        <sz val="12"/>
        <color theme="1"/>
        <rFont val="Arial"/>
        <family val="2"/>
      </rPr>
      <t>Units:</t>
    </r>
    <r>
      <rPr>
        <sz val="12"/>
        <color theme="1"/>
        <rFont val="Arial"/>
        <family val="2"/>
      </rPr>
      <t xml:space="preserve"> ppl, £/t</t>
    </r>
  </si>
  <si>
    <t>AMPE-2014</t>
  </si>
  <si>
    <t>MCVE-2014</t>
  </si>
  <si>
    <t>Lactose</t>
  </si>
  <si>
    <t>AMPE-2014 components (ppl)</t>
  </si>
  <si>
    <t>MCVE-2014 components (ppl)</t>
  </si>
  <si>
    <t xml:space="preserve">AHDB launched an updated version of AMPE and MCVE in August 2020 following an internal review of the indicators. </t>
  </si>
  <si>
    <t>From November 2014, the whey powder price has been calculated from EU prices reported from USDA rather than DDB due to the closure of the DDB.</t>
  </si>
  <si>
    <t xml:space="preserve"> </t>
  </si>
  <si>
    <t>Milk Market Value (MMV)</t>
  </si>
  <si>
    <r>
      <rPr>
        <b/>
        <sz val="12"/>
        <color theme="1"/>
        <rFont val="Arial"/>
        <family val="2"/>
      </rPr>
      <t>Units:</t>
    </r>
    <r>
      <rPr>
        <sz val="12"/>
        <color theme="1"/>
        <rFont val="Arial"/>
        <family val="2"/>
      </rPr>
      <t xml:space="preserve"> ppl</t>
    </r>
  </si>
  <si>
    <t>MMV</t>
  </si>
  <si>
    <t>The Milk Market Value (MMV) is a weighted average of AMPE and MCVE on a 20:80 basis. This was found to be the best predictor of movements in farmgate prices based on historical data. The analysis was done excluding prices paid on retailer-aligned contracts. The impact of the adjustment of AMPE and MCVE following the 2020 review has been accounted for, and the model updated.</t>
  </si>
  <si>
    <r>
      <rPr>
        <b/>
        <sz val="12"/>
        <color rgb="FF575756"/>
        <rFont val="Arial"/>
        <family val="2"/>
      </rPr>
      <t xml:space="preserve">Source: </t>
    </r>
    <r>
      <rPr>
        <sz val="12"/>
        <color rgb="FF575756"/>
        <rFont val="Arial"/>
        <family val="2"/>
      </rPr>
      <t>AHDB, Defra</t>
    </r>
  </si>
  <si>
    <t>current</t>
  </si>
  <si>
    <t>change from prev month</t>
  </si>
  <si>
    <t>Milk market value</t>
  </si>
  <si>
    <t>m-o-m change</t>
  </si>
  <si>
    <t>AMPE</t>
  </si>
  <si>
    <t>MCVE</t>
  </si>
  <si>
    <t>AMPE components (ppl)</t>
  </si>
  <si>
    <t>MCVE components (ppl)</t>
  </si>
  <si>
    <t>Actual Milk Price Equivalent (AMPE) and Milk for Cheese Value Equivalent (MCVE) - Processing costs</t>
  </si>
  <si>
    <r>
      <rPr>
        <b/>
        <sz val="12"/>
        <color theme="1"/>
        <rFont val="Arial"/>
        <family val="2"/>
      </rPr>
      <t>Units:</t>
    </r>
    <r>
      <rPr>
        <sz val="12"/>
        <color theme="1"/>
        <rFont val="Arial"/>
        <family val="2"/>
      </rPr>
      <t xml:space="preserve"> £/t</t>
    </r>
  </si>
  <si>
    <t>AMPE processing costs</t>
  </si>
  <si>
    <t>MCVE processing costs</t>
  </si>
  <si>
    <t>*</t>
  </si>
  <si>
    <r>
      <rPr>
        <b/>
        <sz val="12"/>
        <color rgb="FF575756"/>
        <rFont val="Arial"/>
        <family val="2"/>
      </rPr>
      <t xml:space="preserve">Last updated: </t>
    </r>
    <r>
      <rPr>
        <sz val="12"/>
        <color rgb="FF575756"/>
        <rFont val="Arial"/>
        <family val="2"/>
      </rPr>
      <t>25/01/2022</t>
    </r>
  </si>
  <si>
    <t>NO LONGER UPDATED / PUBLISHED</t>
  </si>
  <si>
    <t>Agriculture and Horticulture Development Board 
Middlemarch Business Park 
Siskin Parkway East
Coventry
CV3 4PE</t>
  </si>
  <si>
    <t>Please note the published values for whey powder have been adjusted between February 2023 and January 2024 due to a revision in the EU product values. MCVE and MMV have been adjusted accordingly.  There is no change to AMPE</t>
  </si>
  <si>
    <t>Notes: Processing costs were updated in September 2025 and back dated until September 2024</t>
  </si>
  <si>
    <t>The market indicator costs and yields were reviewed in September 2025 to reflect changes in milk composition and costs.</t>
  </si>
  <si>
    <r>
      <rPr>
        <b/>
        <sz val="12"/>
        <color rgb="FF575756"/>
        <rFont val="Arial"/>
        <family val="2"/>
      </rPr>
      <t xml:space="preserve">Last updated: </t>
    </r>
    <r>
      <rPr>
        <sz val="12"/>
        <color rgb="FF575756"/>
        <rFont val="Arial"/>
        <family val="2"/>
      </rPr>
      <t>25/09/2025</t>
    </r>
  </si>
  <si>
    <t>From Jan-26 processing costs and yields are being updated annually based on changes in the cost of labour, energy and general inflation.</t>
  </si>
  <si>
    <t>Processing costs were updated in 2025 and used for historic prices back to September 2024.</t>
  </si>
  <si>
    <t>Notes: * Processing costs have been updated from each of the marked months, based on changes in the cost of labour, energy and general inflation. Costs will now be updated annually as inflation has slowed. From September 2025 costs and yields have been updated and back-dated for a period of 12 months (to September 2024).</t>
  </si>
  <si>
    <t>©Agriculture and Horticulture Development Board 2026. All rights reserved.</t>
  </si>
  <si>
    <r>
      <rPr>
        <b/>
        <sz val="12"/>
        <color rgb="FF575756"/>
        <rFont val="Arial"/>
        <family val="2"/>
      </rPr>
      <t xml:space="preserve">Last updated: </t>
    </r>
    <r>
      <rPr>
        <sz val="12"/>
        <color rgb="FF575756"/>
        <rFont val="Arial"/>
        <family val="2"/>
      </rPr>
      <t>25/02/2026</t>
    </r>
  </si>
  <si>
    <r>
      <rPr>
        <b/>
        <sz val="12"/>
        <color rgb="FF575756"/>
        <rFont val="Arial"/>
        <family val="2"/>
      </rPr>
      <t>Last updated:</t>
    </r>
    <r>
      <rPr>
        <sz val="12"/>
        <color rgb="FF575756"/>
        <rFont val="Arial"/>
        <family val="2"/>
      </rPr>
      <t xml:space="preserve"> 25/02/2026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</si>
</sst>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400]h:mm:ss\ AM/PM"/>
    <numFmt numFmtId="165" formatCode="mmm\ yy"/>
    <numFmt numFmtId="166" formatCode="#,##0.0"/>
    <numFmt numFmtId="167" formatCode="0.0"/>
    <numFmt numFmtId="168" formatCode="0.0%"/>
  </numFmts>
  <fonts count="28" x14ac:knownFonts="1">
    <font>
      <sz val="10"/>
      <color theme="1"/>
      <name val="Calibri"/>
      <family val="2"/>
      <scheme val="minor"/>
    </font>
    <font>
      <sz val="12"/>
      <color theme="1"/>
      <name val="Arial"/>
      <family val="2"/>
    </font>
    <font>
      <sz val="12"/>
      <color theme="1"/>
      <name val="Arial"/>
      <family val="2"/>
    </font>
    <font>
      <sz val="11"/>
      <color theme="1"/>
      <name val="Calibri"/>
      <family val="2"/>
      <scheme val="minor"/>
    </font>
    <font>
      <sz val="10"/>
      <color theme="1"/>
      <name val="Calibri"/>
      <family val="2"/>
      <scheme val="minor"/>
    </font>
    <font>
      <b/>
      <sz val="10"/>
      <color theme="0"/>
      <name val="Calibri"/>
      <family val="2"/>
      <scheme val="minor"/>
    </font>
    <font>
      <u/>
      <sz val="10"/>
      <color theme="10"/>
      <name val="Calibri"/>
      <family val="2"/>
      <scheme val="minor"/>
    </font>
    <font>
      <sz val="10"/>
      <name val="Arial"/>
      <family val="2"/>
    </font>
    <font>
      <sz val="10"/>
      <color indexed="9"/>
      <name val="Arial"/>
      <family val="2"/>
    </font>
    <font>
      <u/>
      <sz val="10"/>
      <color indexed="12"/>
      <name val="Arial"/>
      <family val="2"/>
    </font>
    <font>
      <sz val="10"/>
      <color rgb="FF000000"/>
      <name val="Arial"/>
      <family val="2"/>
    </font>
    <font>
      <sz val="12"/>
      <color theme="1"/>
      <name val="Arial"/>
      <family val="2"/>
    </font>
    <font>
      <b/>
      <sz val="12"/>
      <color theme="4"/>
      <name val="Arial"/>
      <family val="2"/>
    </font>
    <font>
      <sz val="12"/>
      <color rgb="FF575756"/>
      <name val="Arial"/>
      <family val="2"/>
    </font>
    <font>
      <b/>
      <sz val="12"/>
      <color rgb="FF575756"/>
      <name val="Arial"/>
      <family val="2"/>
    </font>
    <font>
      <sz val="12"/>
      <color rgb="FF95C11F"/>
      <name val="Arial"/>
      <family val="2"/>
    </font>
    <font>
      <b/>
      <sz val="12"/>
      <color theme="1"/>
      <name val="Arial"/>
      <family val="2"/>
    </font>
    <font>
      <b/>
      <sz val="12"/>
      <color theme="0"/>
      <name val="Arial"/>
      <family val="2"/>
    </font>
    <font>
      <sz val="12"/>
      <color theme="0"/>
      <name val="Arial"/>
      <family val="2"/>
    </font>
    <font>
      <b/>
      <sz val="16"/>
      <color theme="4"/>
      <name val="Arial"/>
      <family val="2"/>
    </font>
    <font>
      <b/>
      <sz val="12"/>
      <color rgb="FF95C11F"/>
      <name val="Arial"/>
      <family val="2"/>
    </font>
    <font>
      <sz val="10"/>
      <color rgb="FF95C11F"/>
      <name val="Calibri Light"/>
      <family val="2"/>
      <scheme val="major"/>
    </font>
    <font>
      <sz val="12"/>
      <name val="Arial"/>
      <family val="2"/>
    </font>
    <font>
      <sz val="12"/>
      <color rgb="FF999999"/>
      <name val="Arial"/>
      <family val="2"/>
    </font>
    <font>
      <sz val="12"/>
      <color theme="10"/>
      <name val="Arial"/>
      <family val="2"/>
    </font>
    <font>
      <b/>
      <sz val="10"/>
      <name val="Arial"/>
      <family val="2"/>
    </font>
    <font>
      <sz val="10"/>
      <color rgb="FFFF0000"/>
      <name val="Arial"/>
      <family val="2"/>
    </font>
    <font>
      <sz val="12"/>
      <color rgb="FFFF000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61BAE8"/>
      </patternFill>
    </fill>
    <fill>
      <patternFill patternType="solid">
        <fgColor rgb="FF999999"/>
      </patternFill>
    </fill>
    <fill>
      <patternFill patternType="solid">
        <fgColor rgb="FFDFEFFB"/>
      </patternFill>
    </fill>
    <fill>
      <patternFill patternType="solid">
        <fgColor rgb="FFBBDDF5"/>
      </patternFill>
    </fill>
    <fill>
      <patternFill patternType="solid">
        <fgColor indexed="9"/>
        <bgColor indexed="64"/>
      </patternFill>
    </fill>
    <fill>
      <patternFill patternType="solid">
        <fgColor rgb="FFDFEFFB"/>
        <bgColor auto="1"/>
      </patternFill>
    </fill>
    <fill>
      <patternFill patternType="solid">
        <fgColor rgb="FFBBDDF5"/>
        <bgColor indexed="64"/>
      </patternFill>
    </fill>
    <fill>
      <patternFill patternType="solid">
        <fgColor rgb="FF0090D3"/>
        <bgColor indexed="64"/>
      </patternFill>
    </fill>
    <fill>
      <patternFill patternType="solid">
        <fgColor rgb="FF61BAE8"/>
        <bgColor indexed="64"/>
      </patternFill>
    </fill>
  </fills>
  <borders count="1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right/>
      <top style="medium">
        <color rgb="FF0082CA"/>
      </top>
      <bottom/>
      <diagonal/>
    </border>
    <border>
      <left/>
      <right/>
      <top style="medium">
        <color rgb="FF0090D4"/>
      </top>
      <bottom/>
      <diagonal/>
    </border>
    <border>
      <left/>
      <right/>
      <top/>
      <bottom style="medium">
        <color theme="4"/>
      </bottom>
      <diagonal/>
    </border>
    <border>
      <left style="thin">
        <color theme="0"/>
      </left>
      <right/>
      <top style="thin">
        <color theme="0"/>
      </top>
      <bottom/>
      <diagonal/>
    </border>
  </borders>
  <cellStyleXfs count="15">
    <xf numFmtId="4" fontId="0" fillId="0" borderId="0">
      <alignment horizontal="left" vertical="top"/>
    </xf>
    <xf numFmtId="9" fontId="3" fillId="0" borderId="0" applyFont="0" applyFill="0" applyBorder="0" applyAlignment="0" applyProtection="0"/>
    <xf numFmtId="0" fontId="4" fillId="0" borderId="0" applyNumberFormat="0" applyFill="0" applyProtection="0">
      <alignment horizontal="left"/>
    </xf>
    <xf numFmtId="0" fontId="5" fillId="2" borderId="1" applyProtection="0">
      <alignment horizontal="center" vertical="center"/>
    </xf>
    <xf numFmtId="4" fontId="4" fillId="6" borderId="1" applyProtection="0">
      <alignment horizontal="center" vertical="center"/>
    </xf>
    <xf numFmtId="4" fontId="4" fillId="7" borderId="1" applyProtection="0">
      <alignment horizontal="center" vertical="center"/>
    </xf>
    <xf numFmtId="0" fontId="5" fillId="4" borderId="1" applyProtection="0">
      <alignment horizontal="center" vertical="center"/>
    </xf>
    <xf numFmtId="0" fontId="5" fillId="5" borderId="1" applyProtection="0">
      <alignment horizontal="center" vertical="center"/>
    </xf>
    <xf numFmtId="39" fontId="6" fillId="0" borderId="0" applyFill="0" applyBorder="0" applyAlignment="0" applyProtection="0"/>
    <xf numFmtId="0" fontId="7" fillId="0" borderId="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4" fontId="4" fillId="0" borderId="0">
      <alignment horizontal="left" vertical="top"/>
    </xf>
    <xf numFmtId="0" fontId="21" fillId="0" borderId="0" applyNumberFormat="0" applyFill="0" applyProtection="0">
      <alignment horizontal="left"/>
    </xf>
  </cellStyleXfs>
  <cellXfs count="123">
    <xf numFmtId="4" fontId="0" fillId="0" borderId="0" xfId="0">
      <alignment horizontal="left" vertical="top"/>
    </xf>
    <xf numFmtId="0" fontId="8" fillId="8" borderId="0" xfId="9" applyFont="1" applyFill="1"/>
    <xf numFmtId="0" fontId="7" fillId="3" borderId="0" xfId="9" applyFill="1"/>
    <xf numFmtId="0" fontId="9" fillId="3" borderId="0" xfId="11" applyFill="1" applyAlignment="1" applyProtection="1"/>
    <xf numFmtId="164" fontId="11" fillId="3" borderId="0" xfId="0" applyNumberFormat="1" applyFont="1" applyFill="1" applyAlignment="1"/>
    <xf numFmtId="4" fontId="12" fillId="3" borderId="0" xfId="0" applyFont="1" applyFill="1" applyAlignment="1">
      <alignment horizontal="left"/>
    </xf>
    <xf numFmtId="4" fontId="12" fillId="0" borderId="0" xfId="0" applyFont="1" applyAlignment="1">
      <alignment horizontal="left"/>
    </xf>
    <xf numFmtId="4" fontId="13" fillId="3" borderId="0" xfId="0" applyFont="1" applyFill="1" applyAlignment="1">
      <alignment vertical="center"/>
    </xf>
    <xf numFmtId="4" fontId="15" fillId="3" borderId="0" xfId="0" applyFont="1" applyFill="1" applyAlignment="1">
      <alignment horizontal="left" vertical="center"/>
    </xf>
    <xf numFmtId="4" fontId="11" fillId="3" borderId="0" xfId="0" applyFont="1" applyFill="1" applyAlignment="1">
      <alignment vertical="top" wrapText="1"/>
    </xf>
    <xf numFmtId="4" fontId="15" fillId="0" borderId="0" xfId="0" applyFont="1" applyAlignment="1">
      <alignment horizontal="left" vertical="center"/>
    </xf>
    <xf numFmtId="4" fontId="11" fillId="3" borderId="0" xfId="0" applyFont="1" applyFill="1" applyAlignment="1">
      <alignment horizontal="left" vertical="center"/>
    </xf>
    <xf numFmtId="14" fontId="11" fillId="3" borderId="0" xfId="2" applyNumberFormat="1" applyFont="1" applyFill="1">
      <alignment horizontal="left"/>
    </xf>
    <xf numFmtId="14" fontId="11" fillId="0" borderId="0" xfId="2" applyNumberFormat="1" applyFont="1">
      <alignment horizontal="left"/>
    </xf>
    <xf numFmtId="14" fontId="11" fillId="3" borderId="0" xfId="0" applyNumberFormat="1" applyFont="1" applyFill="1" applyAlignment="1">
      <alignment horizontal="left"/>
    </xf>
    <xf numFmtId="14" fontId="11" fillId="0" borderId="0" xfId="0" applyNumberFormat="1" applyFont="1" applyAlignment="1">
      <alignment horizontal="left"/>
    </xf>
    <xf numFmtId="4" fontId="11" fillId="3" borderId="0" xfId="0" applyFont="1" applyFill="1">
      <alignment horizontal="left" vertical="top"/>
    </xf>
    <xf numFmtId="4" fontId="11" fillId="0" borderId="0" xfId="0" applyFont="1">
      <alignment horizontal="left" vertical="top"/>
    </xf>
    <xf numFmtId="0" fontId="17" fillId="2" borderId="0" xfId="3" applyFont="1" applyBorder="1">
      <alignment horizontal="center" vertical="center"/>
    </xf>
    <xf numFmtId="0" fontId="17" fillId="4" borderId="3" xfId="6" applyFont="1" applyBorder="1">
      <alignment horizontal="center" vertical="center"/>
    </xf>
    <xf numFmtId="0" fontId="17" fillId="4" borderId="3" xfId="6" applyFont="1" applyBorder="1" applyAlignment="1">
      <alignment horizontal="center" vertical="center" wrapText="1"/>
    </xf>
    <xf numFmtId="0" fontId="17" fillId="5" borderId="1" xfId="7" applyFont="1">
      <alignment horizontal="center" vertical="center"/>
    </xf>
    <xf numFmtId="4" fontId="11" fillId="3" borderId="0" xfId="0" applyFont="1" applyFill="1" applyAlignment="1">
      <alignment horizontal="center" vertical="center"/>
    </xf>
    <xf numFmtId="4" fontId="11" fillId="0" borderId="0" xfId="0" applyFont="1" applyAlignment="1">
      <alignment horizontal="center" vertical="center"/>
    </xf>
    <xf numFmtId="4" fontId="18" fillId="3" borderId="0" xfId="0" applyFont="1" applyFill="1">
      <alignment horizontal="left" vertical="top"/>
    </xf>
    <xf numFmtId="4" fontId="18" fillId="0" borderId="0" xfId="0" applyFont="1">
      <alignment horizontal="left" vertical="top"/>
    </xf>
    <xf numFmtId="4" fontId="19" fillId="3" borderId="0" xfId="0" applyFont="1" applyFill="1" applyAlignment="1">
      <alignment horizontal="left"/>
    </xf>
    <xf numFmtId="4" fontId="11" fillId="3" borderId="0" xfId="13" applyFont="1" applyFill="1">
      <alignment horizontal="left" vertical="top"/>
    </xf>
    <xf numFmtId="0" fontId="20" fillId="3" borderId="10" xfId="12" applyFont="1" applyFill="1" applyBorder="1" applyAlignment="1">
      <alignment vertical="center"/>
    </xf>
    <xf numFmtId="4" fontId="11" fillId="3" borderId="0" xfId="13" applyFont="1" applyFill="1" applyAlignment="1">
      <alignment horizontal="left"/>
    </xf>
    <xf numFmtId="4" fontId="22" fillId="0" borderId="0" xfId="13" applyFont="1">
      <alignment horizontal="left" vertical="top"/>
    </xf>
    <xf numFmtId="0" fontId="14" fillId="0" borderId="0" xfId="14" applyFont="1">
      <alignment horizontal="left"/>
    </xf>
    <xf numFmtId="4" fontId="23" fillId="0" borderId="0" xfId="13" applyFont="1" applyAlignment="1">
      <alignment vertical="center"/>
    </xf>
    <xf numFmtId="0" fontId="17" fillId="4" borderId="1" xfId="6" applyFont="1">
      <alignment horizontal="center" vertical="center"/>
    </xf>
    <xf numFmtId="166" fontId="11" fillId="6" borderId="1" xfId="4" applyNumberFormat="1" applyFont="1" applyAlignment="1">
      <alignment horizontal="right" vertical="center"/>
    </xf>
    <xf numFmtId="4" fontId="11" fillId="3" borderId="0" xfId="0" applyFont="1" applyFill="1" applyAlignment="1">
      <alignment horizontal="right" vertical="top"/>
    </xf>
    <xf numFmtId="3" fontId="11" fillId="6" borderId="1" xfId="4" applyNumberFormat="1" applyFont="1" applyAlignment="1">
      <alignment horizontal="right" vertical="center"/>
    </xf>
    <xf numFmtId="166" fontId="11" fillId="7" borderId="1" xfId="5" applyNumberFormat="1" applyFont="1" applyAlignment="1">
      <alignment horizontal="right" vertical="center"/>
    </xf>
    <xf numFmtId="3" fontId="11" fillId="7" borderId="1" xfId="5" applyNumberFormat="1" applyFont="1" applyAlignment="1">
      <alignment horizontal="right" vertical="center"/>
    </xf>
    <xf numFmtId="4" fontId="11" fillId="3" borderId="0" xfId="0" applyFont="1" applyFill="1" applyAlignment="1">
      <alignment horizontal="right" vertical="center"/>
    </xf>
    <xf numFmtId="4" fontId="13" fillId="0" borderId="0" xfId="13" applyFont="1" applyAlignment="1">
      <alignment horizontal="left" vertical="top" wrapText="1"/>
    </xf>
    <xf numFmtId="17" fontId="11" fillId="6" borderId="5" xfId="4" applyNumberFormat="1" applyFont="1" applyBorder="1" applyAlignment="1">
      <alignment horizontal="left" vertical="center"/>
    </xf>
    <xf numFmtId="17" fontId="11" fillId="7" borderId="5" xfId="5" applyNumberFormat="1" applyFont="1" applyBorder="1" applyAlignment="1">
      <alignment horizontal="left" vertical="center"/>
    </xf>
    <xf numFmtId="0" fontId="7" fillId="0" borderId="0" xfId="9"/>
    <xf numFmtId="0" fontId="17" fillId="2" borderId="4" xfId="3" applyFont="1" applyBorder="1" applyAlignment="1" applyProtection="1">
      <alignment horizontal="right"/>
      <protection locked="0"/>
    </xf>
    <xf numFmtId="0" fontId="17" fillId="2" borderId="5" xfId="3" applyFont="1" applyBorder="1" applyAlignment="1" applyProtection="1">
      <alignment horizontal="center"/>
      <protection locked="0"/>
    </xf>
    <xf numFmtId="0" fontId="18" fillId="4" borderId="3" xfId="6" applyFont="1" applyBorder="1">
      <alignment horizontal="center" vertical="center"/>
    </xf>
    <xf numFmtId="165" fontId="18" fillId="4" borderId="3" xfId="6" applyNumberFormat="1" applyFont="1" applyBorder="1">
      <alignment horizontal="center" vertical="center"/>
    </xf>
    <xf numFmtId="165" fontId="11" fillId="9" borderId="7" xfId="0" applyNumberFormat="1" applyFont="1" applyFill="1" applyBorder="1" applyAlignment="1">
      <alignment horizontal="left" vertical="center"/>
    </xf>
    <xf numFmtId="4" fontId="11" fillId="9" borderId="1" xfId="0" applyFont="1" applyFill="1" applyBorder="1" applyAlignment="1">
      <alignment horizontal="right" vertical="center"/>
    </xf>
    <xf numFmtId="4" fontId="16" fillId="9" borderId="1" xfId="0" applyFont="1" applyFill="1" applyBorder="1" applyAlignment="1">
      <alignment horizontal="right" vertical="center"/>
    </xf>
    <xf numFmtId="165" fontId="11" fillId="10" borderId="1" xfId="0" applyNumberFormat="1" applyFont="1" applyFill="1" applyBorder="1">
      <alignment horizontal="left" vertical="top"/>
    </xf>
    <xf numFmtId="4" fontId="11" fillId="10" borderId="1" xfId="0" applyFont="1" applyFill="1" applyBorder="1" applyAlignment="1">
      <alignment horizontal="right" vertical="top"/>
    </xf>
    <xf numFmtId="4" fontId="16" fillId="10" borderId="1" xfId="0" applyFont="1" applyFill="1" applyBorder="1" applyAlignment="1">
      <alignment horizontal="right" vertical="top"/>
    </xf>
    <xf numFmtId="165" fontId="11" fillId="9" borderId="1" xfId="0" applyNumberFormat="1" applyFont="1" applyFill="1" applyBorder="1" applyAlignment="1">
      <alignment horizontal="left" vertical="center"/>
    </xf>
    <xf numFmtId="9" fontId="11" fillId="9" borderId="1" xfId="1" applyFont="1" applyFill="1" applyBorder="1" applyAlignment="1">
      <alignment horizontal="right" vertical="center"/>
    </xf>
    <xf numFmtId="165" fontId="11" fillId="0" borderId="0" xfId="0" applyNumberFormat="1" applyFont="1" applyAlignment="1">
      <alignment horizontal="left" vertical="center"/>
    </xf>
    <xf numFmtId="4" fontId="11" fillId="0" borderId="4" xfId="0" applyFont="1" applyBorder="1" applyAlignment="1">
      <alignment horizontal="right" vertical="center"/>
    </xf>
    <xf numFmtId="4" fontId="16" fillId="0" borderId="4" xfId="0" applyFont="1" applyBorder="1" applyAlignment="1">
      <alignment horizontal="right" vertical="center"/>
    </xf>
    <xf numFmtId="9" fontId="11" fillId="0" borderId="5" xfId="1" applyFont="1" applyFill="1" applyBorder="1" applyAlignment="1">
      <alignment horizontal="right" vertical="center"/>
    </xf>
    <xf numFmtId="0" fontId="17" fillId="2" borderId="4" xfId="3" applyFont="1" applyBorder="1" applyAlignment="1" applyProtection="1">
      <alignment horizontal="center"/>
      <protection locked="0"/>
    </xf>
    <xf numFmtId="0" fontId="11" fillId="3" borderId="0" xfId="9" applyFont="1" applyFill="1"/>
    <xf numFmtId="0" fontId="22" fillId="3" borderId="0" xfId="9" applyFont="1" applyFill="1"/>
    <xf numFmtId="4" fontId="11" fillId="0" borderId="0" xfId="13" applyFont="1">
      <alignment horizontal="left" vertical="top"/>
    </xf>
    <xf numFmtId="0" fontId="20" fillId="0" borderId="0" xfId="14" applyFont="1">
      <alignment horizontal="left"/>
    </xf>
    <xf numFmtId="4" fontId="11" fillId="0" borderId="0" xfId="13" applyFont="1" applyAlignment="1">
      <alignment vertical="top" wrapText="1"/>
    </xf>
    <xf numFmtId="4" fontId="16" fillId="0" borderId="0" xfId="13" applyFont="1" applyAlignment="1">
      <alignment vertical="top"/>
    </xf>
    <xf numFmtId="4" fontId="16" fillId="0" borderId="0" xfId="13" applyFont="1">
      <alignment horizontal="left" vertical="top"/>
    </xf>
    <xf numFmtId="39" fontId="24" fillId="0" borderId="0" xfId="8" applyFont="1" applyAlignment="1">
      <alignment horizontal="left" vertical="top"/>
    </xf>
    <xf numFmtId="4" fontId="16" fillId="0" borderId="12" xfId="13" applyFont="1" applyBorder="1">
      <alignment horizontal="left" vertical="top"/>
    </xf>
    <xf numFmtId="9" fontId="11" fillId="10" borderId="1" xfId="1" applyFont="1" applyFill="1" applyBorder="1" applyAlignment="1">
      <alignment horizontal="right" vertical="top"/>
    </xf>
    <xf numFmtId="0" fontId="17" fillId="2" borderId="7" xfId="3" applyFont="1" applyBorder="1" applyAlignment="1">
      <alignment horizontal="center" vertical="center" wrapText="1"/>
    </xf>
    <xf numFmtId="0" fontId="17" fillId="2" borderId="2" xfId="3" applyFont="1" applyBorder="1" applyAlignment="1">
      <alignment horizontal="center" vertical="center" wrapText="1"/>
    </xf>
    <xf numFmtId="0" fontId="25" fillId="3" borderId="0" xfId="9" applyFont="1" applyFill="1" applyAlignment="1">
      <alignment horizontal="left"/>
    </xf>
    <xf numFmtId="4" fontId="0" fillId="3" borderId="0" xfId="0" applyFill="1">
      <alignment horizontal="left" vertical="top"/>
    </xf>
    <xf numFmtId="0" fontId="20" fillId="3" borderId="0" xfId="12" applyFont="1" applyFill="1" applyAlignment="1">
      <alignment vertical="center"/>
    </xf>
    <xf numFmtId="0" fontId="17" fillId="5" borderId="13" xfId="7" quotePrefix="1" applyFont="1" applyBorder="1">
      <alignment horizontal="center" vertical="center"/>
    </xf>
    <xf numFmtId="0" fontId="17" fillId="5" borderId="13" xfId="7" quotePrefix="1" applyFont="1" applyBorder="1" applyAlignment="1">
      <alignment horizontal="center" vertical="center" wrapText="1"/>
    </xf>
    <xf numFmtId="4" fontId="7" fillId="3" borderId="0" xfId="9" applyNumberFormat="1" applyFill="1"/>
    <xf numFmtId="4" fontId="11" fillId="9" borderId="7" xfId="0" applyFont="1" applyFill="1" applyBorder="1" applyAlignment="1">
      <alignment horizontal="right" vertical="center"/>
    </xf>
    <xf numFmtId="0" fontId="18" fillId="12" borderId="3" xfId="6" applyFont="1" applyFill="1" applyBorder="1">
      <alignment horizontal="center" vertical="center"/>
    </xf>
    <xf numFmtId="167" fontId="11" fillId="7" borderId="1" xfId="5" applyNumberFormat="1" applyFont="1" applyAlignment="1">
      <alignment horizontal="right" vertical="center"/>
    </xf>
    <xf numFmtId="167" fontId="11" fillId="6" borderId="1" xfId="4" applyNumberFormat="1" applyFont="1" applyAlignment="1">
      <alignment horizontal="right" vertical="center"/>
    </xf>
    <xf numFmtId="166" fontId="22" fillId="3" borderId="0" xfId="9" applyNumberFormat="1" applyFont="1" applyFill="1"/>
    <xf numFmtId="168" fontId="11" fillId="10" borderId="1" xfId="1" applyNumberFormat="1" applyFont="1" applyFill="1" applyBorder="1" applyAlignment="1">
      <alignment horizontal="right" vertical="top"/>
    </xf>
    <xf numFmtId="0" fontId="26" fillId="3" borderId="0" xfId="9" applyFont="1" applyFill="1"/>
    <xf numFmtId="4" fontId="27" fillId="3" borderId="0" xfId="0" applyFont="1" applyFill="1">
      <alignment horizontal="left" vertical="top"/>
    </xf>
    <xf numFmtId="4" fontId="2" fillId="3" borderId="0" xfId="0" applyFont="1" applyFill="1" applyAlignment="1">
      <alignment horizontal="right" vertical="top"/>
    </xf>
    <xf numFmtId="9" fontId="7" fillId="3" borderId="0" xfId="1" applyFont="1" applyFill="1"/>
    <xf numFmtId="4" fontId="1" fillId="3" borderId="0" xfId="13" applyFont="1" applyFill="1" applyAlignment="1">
      <alignment horizontal="left"/>
    </xf>
    <xf numFmtId="4" fontId="1" fillId="3" borderId="0" xfId="0" applyFont="1" applyFill="1" applyAlignment="1">
      <alignment horizontal="right"/>
    </xf>
    <xf numFmtId="4" fontId="11" fillId="3" borderId="0" xfId="13" applyFont="1" applyFill="1" applyAlignment="1">
      <alignment vertical="top" wrapText="1"/>
    </xf>
    <xf numFmtId="17" fontId="11" fillId="3" borderId="0" xfId="5" applyNumberFormat="1" applyFont="1" applyFill="1" applyBorder="1" applyAlignment="1">
      <alignment horizontal="left" vertical="center"/>
    </xf>
    <xf numFmtId="166" fontId="11" fillId="3" borderId="1" xfId="5" applyNumberFormat="1" applyFont="1" applyFill="1" applyAlignment="1">
      <alignment horizontal="right" vertical="center"/>
    </xf>
    <xf numFmtId="3" fontId="11" fillId="3" borderId="1" xfId="5" applyNumberFormat="1" applyFont="1" applyFill="1" applyAlignment="1">
      <alignment horizontal="right" vertical="center"/>
    </xf>
    <xf numFmtId="4" fontId="1" fillId="3" borderId="0" xfId="0" applyFont="1" applyFill="1">
      <alignment horizontal="left" vertical="top"/>
    </xf>
    <xf numFmtId="4" fontId="1" fillId="3" borderId="0" xfId="13" applyFont="1" applyFill="1" applyAlignment="1">
      <alignment vertical="top"/>
    </xf>
    <xf numFmtId="168" fontId="11" fillId="3" borderId="0" xfId="1" applyNumberFormat="1" applyFont="1" applyFill="1" applyAlignment="1">
      <alignment horizontal="left" vertical="top"/>
    </xf>
    <xf numFmtId="3" fontId="1" fillId="7" borderId="1" xfId="5" applyNumberFormat="1" applyFont="1" applyAlignment="1">
      <alignment horizontal="right" vertical="center"/>
    </xf>
    <xf numFmtId="0" fontId="17" fillId="2" borderId="9" xfId="3" applyFont="1" applyBorder="1">
      <alignment horizontal="center" vertical="center"/>
    </xf>
    <xf numFmtId="0" fontId="17" fillId="2" borderId="0" xfId="3" applyFont="1" applyBorder="1">
      <alignment horizontal="center" vertical="center"/>
    </xf>
    <xf numFmtId="0" fontId="17" fillId="2" borderId="8" xfId="3" applyFont="1" applyBorder="1">
      <alignment horizontal="center" vertical="center"/>
    </xf>
    <xf numFmtId="0" fontId="17" fillId="2" borderId="6" xfId="3" applyFont="1" applyBorder="1">
      <alignment horizontal="center" vertical="center"/>
    </xf>
    <xf numFmtId="0" fontId="17" fillId="5" borderId="3" xfId="7" applyFont="1" applyBorder="1">
      <alignment horizontal="center" vertical="center"/>
    </xf>
    <xf numFmtId="0" fontId="17" fillId="5" borderId="5" xfId="7" applyFont="1" applyBorder="1">
      <alignment horizontal="center" vertical="center"/>
    </xf>
    <xf numFmtId="0" fontId="17" fillId="2" borderId="9" xfId="3" applyFont="1" applyBorder="1" applyAlignment="1">
      <alignment horizontal="center" vertical="center" wrapText="1"/>
    </xf>
    <xf numFmtId="0" fontId="17" fillId="2" borderId="0" xfId="3" applyFont="1" applyBorder="1" applyAlignment="1">
      <alignment horizontal="center" vertical="center" wrapText="1"/>
    </xf>
    <xf numFmtId="0" fontId="17" fillId="2" borderId="4" xfId="3" applyFont="1" applyBorder="1" applyAlignment="1" applyProtection="1">
      <alignment horizontal="center"/>
      <protection locked="0"/>
    </xf>
    <xf numFmtId="0" fontId="17" fillId="2" borderId="13" xfId="3" applyFont="1" applyBorder="1">
      <alignment horizontal="center" vertical="center"/>
    </xf>
    <xf numFmtId="0" fontId="17" fillId="2" borderId="7" xfId="3" applyFont="1" applyBorder="1">
      <alignment horizontal="center" vertical="center"/>
    </xf>
    <xf numFmtId="0" fontId="17" fillId="2" borderId="3" xfId="3" applyFont="1" applyBorder="1" applyAlignment="1" applyProtection="1">
      <alignment horizontal="center"/>
      <protection locked="0"/>
    </xf>
    <xf numFmtId="0" fontId="17" fillId="2" borderId="5" xfId="3" applyFont="1" applyBorder="1" applyAlignment="1" applyProtection="1">
      <alignment horizontal="center"/>
      <protection locked="0"/>
    </xf>
    <xf numFmtId="0" fontId="17" fillId="11" borderId="4" xfId="3" applyFont="1" applyFill="1" applyBorder="1" applyAlignment="1" applyProtection="1">
      <alignment horizontal="center"/>
      <protection locked="0"/>
    </xf>
    <xf numFmtId="4" fontId="11" fillId="3" borderId="0" xfId="13" applyFont="1" applyFill="1" applyAlignment="1">
      <alignment vertical="top" wrapText="1"/>
    </xf>
    <xf numFmtId="4" fontId="11" fillId="3" borderId="0" xfId="13" applyFont="1" applyFill="1" applyAlignment="1">
      <alignment horizontal="left" vertical="top" wrapText="1"/>
    </xf>
    <xf numFmtId="39" fontId="24" fillId="0" borderId="12" xfId="8" applyFont="1" applyBorder="1" applyAlignment="1">
      <alignment horizontal="left" vertical="top"/>
    </xf>
    <xf numFmtId="0" fontId="20" fillId="0" borderId="11" xfId="14" applyFont="1" applyBorder="1">
      <alignment horizontal="left"/>
    </xf>
    <xf numFmtId="4" fontId="13" fillId="0" borderId="0" xfId="13" applyFont="1" applyAlignment="1">
      <alignment horizontal="left" vertical="top" wrapText="1"/>
    </xf>
    <xf numFmtId="4" fontId="16" fillId="0" borderId="0" xfId="13" applyFont="1" applyAlignment="1">
      <alignment horizontal="left" vertical="top" wrapText="1"/>
    </xf>
    <xf numFmtId="4" fontId="2" fillId="0" borderId="0" xfId="13" applyFont="1" applyAlignment="1">
      <alignment horizontal="left" vertical="top" wrapText="1"/>
    </xf>
    <xf numFmtId="4" fontId="16" fillId="0" borderId="0" xfId="13" applyFont="1">
      <alignment horizontal="left" vertical="top"/>
    </xf>
    <xf numFmtId="39" fontId="24" fillId="0" borderId="0" xfId="8" applyFont="1" applyAlignment="1">
      <alignment horizontal="left" vertical="top"/>
    </xf>
    <xf numFmtId="4" fontId="1" fillId="3" borderId="0" xfId="13" applyFont="1" applyFill="1">
      <alignment horizontal="left" vertical="top"/>
    </xf>
  </cellXfs>
  <cellStyles count="15">
    <cellStyle name="20% - Accent1" xfId="4" builtinId="30"/>
    <cellStyle name="40% - Accent1" xfId="5" builtinId="31"/>
    <cellStyle name="60% - Accent1" xfId="6" builtinId="32"/>
    <cellStyle name="Accent1" xfId="3" builtinId="29"/>
    <cellStyle name="Heading 2 2" xfId="14" xr:uid="{00000000-0005-0000-0000-000004000000}"/>
    <cellStyle name="Heading 3" xfId="2" builtinId="18"/>
    <cellStyle name="Hyperlink" xfId="8" builtinId="8"/>
    <cellStyle name="Hyperlink 2" xfId="11" xr:uid="{00000000-0005-0000-0000-000007000000}"/>
    <cellStyle name="Normal" xfId="0" builtinId="0"/>
    <cellStyle name="Normal 2" xfId="9" xr:uid="{00000000-0005-0000-0000-000009000000}"/>
    <cellStyle name="Normal 3" xfId="13" xr:uid="{00000000-0005-0000-0000-00000A000000}"/>
    <cellStyle name="Normal 4" xfId="12" xr:uid="{00000000-0005-0000-0000-00000B000000}"/>
    <cellStyle name="Percent" xfId="1" builtinId="5"/>
    <cellStyle name="Percent 2" xfId="10" xr:uid="{00000000-0005-0000-0000-00000D000000}"/>
    <cellStyle name="table heading 3" xfId="7" xr:uid="{00000000-0005-0000-0000-00000E000000}"/>
  </cellStyles>
  <dxfs count="0"/>
  <tableStyles count="0" defaultTableStyle="TableStyleMedium2" defaultPivotStyle="PivotStyleLight16"/>
  <colors>
    <mruColors>
      <color rgb="FF61BAE8"/>
      <color rgb="FF0090D3"/>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59D-4574-9DC1-F8F403473E6C}"/>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59D-4574-9DC1-F8F403473E6C}"/>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863-4C0A-878C-1878D968F6F6}"/>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863-4C0A-878C-1878D968F6F6}"/>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MCVE</a:t>
            </a:r>
          </a:p>
        </c:rich>
      </c:tx>
      <c:layout>
        <c:manualLayout>
          <c:xMode val="edge"/>
          <c:yMode val="edge"/>
          <c:x val="0.44736890925379003"/>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MCVE-2014</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2014'!$D$72:$D$145</c:f>
              <c:numCache>
                <c:formatCode>#,##0.0</c:formatCode>
                <c:ptCount val="74"/>
                <c:pt idx="0">
                  <c:v>24.503473091586443</c:v>
                </c:pt>
                <c:pt idx="1">
                  <c:v>24.337759869783959</c:v>
                </c:pt>
                <c:pt idx="2">
                  <c:v>23.902465752136902</c:v>
                </c:pt>
                <c:pt idx="3">
                  <c:v>22.578139638424179</c:v>
                </c:pt>
                <c:pt idx="4">
                  <c:v>20.123238193977798</c:v>
                </c:pt>
                <c:pt idx="5">
                  <c:v>20.284472592250868</c:v>
                </c:pt>
                <c:pt idx="6">
                  <c:v>20.670776062067326</c:v>
                </c:pt>
                <c:pt idx="7">
                  <c:v>19.052507995230055</c:v>
                </c:pt>
                <c:pt idx="8">
                  <c:v>18.945853289347703</c:v>
                </c:pt>
                <c:pt idx="9">
                  <c:v>17.723946922456463</c:v>
                </c:pt>
                <c:pt idx="10">
                  <c:v>17.415257224901207</c:v>
                </c:pt>
                <c:pt idx="11">
                  <c:v>16.220729789240348</c:v>
                </c:pt>
                <c:pt idx="12">
                  <c:v>15.70852346299114</c:v>
                </c:pt>
                <c:pt idx="13">
                  <c:v>16.554852746428633</c:v>
                </c:pt>
                <c:pt idx="14">
                  <c:v>19.632401787658488</c:v>
                </c:pt>
                <c:pt idx="15">
                  <c:v>23.548068143318886</c:v>
                </c:pt>
                <c:pt idx="16">
                  <c:v>28.02133798912487</c:v>
                </c:pt>
                <c:pt idx="17">
                  <c:v>32.400328853349698</c:v>
                </c:pt>
                <c:pt idx="18">
                  <c:v>33.946231248959833</c:v>
                </c:pt>
                <c:pt idx="19">
                  <c:v>33.682872851673253</c:v>
                </c:pt>
                <c:pt idx="20">
                  <c:v>33.536941374393166</c:v>
                </c:pt>
                <c:pt idx="21">
                  <c:v>33.7112664324072</c:v>
                </c:pt>
                <c:pt idx="22">
                  <c:v>32.275608595297946</c:v>
                </c:pt>
                <c:pt idx="23">
                  <c:v>32.083405247138316</c:v>
                </c:pt>
                <c:pt idx="24">
                  <c:v>31.787843183150255</c:v>
                </c:pt>
                <c:pt idx="25">
                  <c:v>33.295883109420934</c:v>
                </c:pt>
                <c:pt idx="26">
                  <c:v>36.915422822032276</c:v>
                </c:pt>
                <c:pt idx="27">
                  <c:v>37.137589192048345</c:v>
                </c:pt>
                <c:pt idx="28">
                  <c:v>38.698417216521882</c:v>
                </c:pt>
                <c:pt idx="29">
                  <c:v>38.484988185528842</c:v>
                </c:pt>
                <c:pt idx="30">
                  <c:v>36.605212529059528</c:v>
                </c:pt>
                <c:pt idx="31">
                  <c:v>34.860941492697108</c:v>
                </c:pt>
                <c:pt idx="32">
                  <c:v>31.866863128940576</c:v>
                </c:pt>
                <c:pt idx="33">
                  <c:v>30.101141976852418</c:v>
                </c:pt>
                <c:pt idx="34">
                  <c:v>31.302838041995251</c:v>
                </c:pt>
                <c:pt idx="35">
                  <c:v>31.049760237046577</c:v>
                </c:pt>
                <c:pt idx="36">
                  <c:v>31.38103890404923</c:v>
                </c:pt>
                <c:pt idx="37">
                  <c:v>32.326630793331361</c:v>
                </c:pt>
                <c:pt idx="38">
                  <c:v>32.77453848220555</c:v>
                </c:pt>
                <c:pt idx="39">
                  <c:v>33.37016899172513</c:v>
                </c:pt>
                <c:pt idx="40">
                  <c:v>33.619409101187259</c:v>
                </c:pt>
                <c:pt idx="41">
                  <c:v>33.631101611261016</c:v>
                </c:pt>
                <c:pt idx="42">
                  <c:v>32.664358882691246</c:v>
                </c:pt>
                <c:pt idx="43">
                  <c:v>31.061076026948452</c:v>
                </c:pt>
                <c:pt idx="44">
                  <c:v>31.04272128877902</c:v>
                </c:pt>
                <c:pt idx="45">
                  <c:v>31.583415894544736</c:v>
                </c:pt>
                <c:pt idx="46">
                  <c:v>31.416821228057955</c:v>
                </c:pt>
                <c:pt idx="47">
                  <c:v>30.80860322627068</c:v>
                </c:pt>
                <c:pt idx="48">
                  <c:v>30.555551623557268</c:v>
                </c:pt>
                <c:pt idx="49">
                  <c:v>30.444226546924778</c:v>
                </c:pt>
                <c:pt idx="50">
                  <c:v>30.367229368835197</c:v>
                </c:pt>
                <c:pt idx="51">
                  <c:v>30.025744788694883</c:v>
                </c:pt>
                <c:pt idx="52">
                  <c:v>29.927789093605835</c:v>
                </c:pt>
                <c:pt idx="53">
                  <c:v>29.904787154048364</c:v>
                </c:pt>
                <c:pt idx="54">
                  <c:v>30.085667747680308</c:v>
                </c:pt>
                <c:pt idx="55">
                  <c:v>30.198522550702435</c:v>
                </c:pt>
                <c:pt idx="56">
                  <c:v>30.160195423341399</c:v>
                </c:pt>
                <c:pt idx="57">
                  <c:v>30.206649326201624</c:v>
                </c:pt>
                <c:pt idx="58">
                  <c:v>30.563648755560411</c:v>
                </c:pt>
                <c:pt idx="59">
                  <c:v>30.980544961184709</c:v>
                </c:pt>
                <c:pt idx="60">
                  <c:v>30.114720572574964</c:v>
                </c:pt>
                <c:pt idx="61">
                  <c:v>30.487531303051448</c:v>
                </c:pt>
                <c:pt idx="62">
                  <c:v>30.88985932049394</c:v>
                </c:pt>
                <c:pt idx="63">
                  <c:v>31.012454241178208</c:v>
                </c:pt>
                <c:pt idx="64">
                  <c:v>30.917906820670925</c:v>
                </c:pt>
                <c:pt idx="65">
                  <c:v>30.965450492068658</c:v>
                </c:pt>
                <c:pt idx="66">
                  <c:v>31.011060097627212</c:v>
                </c:pt>
                <c:pt idx="67">
                  <c:v>30.932076164545723</c:v>
                </c:pt>
                <c:pt idx="68">
                  <c:v>31.309432446155935</c:v>
                </c:pt>
                <c:pt idx="69">
                  <c:v>31.437099434786465</c:v>
                </c:pt>
                <c:pt idx="70">
                  <c:v>31.827701069711619</c:v>
                </c:pt>
                <c:pt idx="71">
                  <c:v>32.302135836355433</c:v>
                </c:pt>
                <c:pt idx="72">
                  <c:v>32.80046318068387</c:v>
                </c:pt>
                <c:pt idx="73">
                  <c:v>32.941693933458218</c:v>
                </c:pt>
              </c:numCache>
            </c:numRef>
          </c:val>
          <c:smooth val="0"/>
          <c:extLst>
            <c:ext xmlns:c16="http://schemas.microsoft.com/office/drawing/2014/chart" uri="{C3380CC4-5D6E-409C-BE32-E72D297353CC}">
              <c16:uniqueId val="{00000001-55C3-456A-83A2-7D67BEB5E632}"/>
            </c:ext>
          </c:extLst>
        </c:ser>
        <c:ser>
          <c:idx val="0"/>
          <c:order val="1"/>
          <c:tx>
            <c:v>MCVE-2020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55C3-456A-83A2-7D67BEB5E632}"/>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36"/>
          <c:min val="28"/>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p>
        </c:rich>
      </c:tx>
      <c:layout>
        <c:manualLayout>
          <c:xMode val="edge"/>
          <c:yMode val="edge"/>
          <c:x val="0.43958028515256736"/>
          <c:y val="1.769842535026657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AMPE-2014</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2014'!$C$72:$C$145</c:f>
              <c:numCache>
                <c:formatCode>#,##0.0</c:formatCode>
                <c:ptCount val="74"/>
                <c:pt idx="0">
                  <c:v>19.903298144962712</c:v>
                </c:pt>
                <c:pt idx="1">
                  <c:v>18.184635629822338</c:v>
                </c:pt>
                <c:pt idx="2">
                  <c:v>17.695254552294578</c:v>
                </c:pt>
                <c:pt idx="3">
                  <c:v>16.712606568043583</c:v>
                </c:pt>
                <c:pt idx="4">
                  <c:v>15.483325130430977</c:v>
                </c:pt>
                <c:pt idx="5">
                  <c:v>16.957297106807466</c:v>
                </c:pt>
                <c:pt idx="6">
                  <c:v>17.939945091058455</c:v>
                </c:pt>
                <c:pt idx="7">
                  <c:v>16.221282575918085</c:v>
                </c:pt>
                <c:pt idx="8">
                  <c:v>15.976592037154205</c:v>
                </c:pt>
                <c:pt idx="9">
                  <c:v>16.09990876383501</c:v>
                </c:pt>
                <c:pt idx="10">
                  <c:v>15.974649122556471</c:v>
                </c:pt>
                <c:pt idx="11">
                  <c:v>15.481382215833243</c:v>
                </c:pt>
                <c:pt idx="12">
                  <c:v>15.481382215833243</c:v>
                </c:pt>
                <c:pt idx="13">
                  <c:v>16.833980380126658</c:v>
                </c:pt>
                <c:pt idx="14">
                  <c:v>18.926478904504911</c:v>
                </c:pt>
                <c:pt idx="15">
                  <c:v>23.350337748232114</c:v>
                </c:pt>
                <c:pt idx="16">
                  <c:v>26.008538883663896</c:v>
                </c:pt>
                <c:pt idx="17">
                  <c:v>28.467101758889111</c:v>
                </c:pt>
                <c:pt idx="18">
                  <c:v>31.313283666941068</c:v>
                </c:pt>
                <c:pt idx="19">
                  <c:v>31.462040904797135</c:v>
                </c:pt>
                <c:pt idx="20">
                  <c:v>30.968773998073907</c:v>
                </c:pt>
                <c:pt idx="21">
                  <c:v>30.475507091350678</c:v>
                </c:pt>
                <c:pt idx="22">
                  <c:v>28.267463498682538</c:v>
                </c:pt>
                <c:pt idx="23">
                  <c:v>27.7858540795457</c:v>
                </c:pt>
                <c:pt idx="24">
                  <c:v>27.666423182060356</c:v>
                </c:pt>
                <c:pt idx="25">
                  <c:v>30.992088973246684</c:v>
                </c:pt>
                <c:pt idx="26">
                  <c:v>36.406367459615801</c:v>
                </c:pt>
                <c:pt idx="27">
                  <c:v>36.71243075955794</c:v>
                </c:pt>
                <c:pt idx="28">
                  <c:v>40.1175267476264</c:v>
                </c:pt>
                <c:pt idx="29">
                  <c:v>39.872836208862516</c:v>
                </c:pt>
                <c:pt idx="30">
                  <c:v>32.734066463559827</c:v>
                </c:pt>
                <c:pt idx="31">
                  <c:v>29.238088752537656</c:v>
                </c:pt>
                <c:pt idx="32">
                  <c:v>26.380249356899306</c:v>
                </c:pt>
                <c:pt idx="33">
                  <c:v>24.018008365501458</c:v>
                </c:pt>
                <c:pt idx="34">
                  <c:v>26.88128792201346</c:v>
                </c:pt>
                <c:pt idx="35">
                  <c:v>26.682426827645983</c:v>
                </c:pt>
                <c:pt idx="36">
                  <c:v>28.901739324980959</c:v>
                </c:pt>
                <c:pt idx="37">
                  <c:v>33.081684795783367</c:v>
                </c:pt>
                <c:pt idx="38">
                  <c:v>33.226556204443973</c:v>
                </c:pt>
                <c:pt idx="39">
                  <c:v>31.797636506624794</c:v>
                </c:pt>
                <c:pt idx="40">
                  <c:v>33.175675182093457</c:v>
                </c:pt>
                <c:pt idx="41">
                  <c:v>31.841523036423464</c:v>
                </c:pt>
                <c:pt idx="42">
                  <c:v>28.341659496205825</c:v>
                </c:pt>
                <c:pt idx="43">
                  <c:v>27.006730184696739</c:v>
                </c:pt>
                <c:pt idx="44">
                  <c:v>27.444453074034904</c:v>
                </c:pt>
                <c:pt idx="45">
                  <c:v>30.193535932420406</c:v>
                </c:pt>
                <c:pt idx="46">
                  <c:v>29.304101168640408</c:v>
                </c:pt>
                <c:pt idx="47">
                  <c:v>28.269794996199817</c:v>
                </c:pt>
                <c:pt idx="48">
                  <c:v>27.827409111827095</c:v>
                </c:pt>
                <c:pt idx="49">
                  <c:v>28.511765454526877</c:v>
                </c:pt>
                <c:pt idx="50">
                  <c:v>28.406117580630397</c:v>
                </c:pt>
                <c:pt idx="51">
                  <c:v>27.864301149073938</c:v>
                </c:pt>
                <c:pt idx="52">
                  <c:v>27.66388572302828</c:v>
                </c:pt>
                <c:pt idx="53">
                  <c:v>29.727057907035814</c:v>
                </c:pt>
                <c:pt idx="54">
                  <c:v>30.214107487046302</c:v>
                </c:pt>
                <c:pt idx="55">
                  <c:v>31.144320117268602</c:v>
                </c:pt>
                <c:pt idx="56">
                  <c:v>31.188983812906368</c:v>
                </c:pt>
                <c:pt idx="57">
                  <c:v>31.433285768750707</c:v>
                </c:pt>
                <c:pt idx="58">
                  <c:v>30.400533927988299</c:v>
                </c:pt>
                <c:pt idx="59">
                  <c:v>28.491559142710464</c:v>
                </c:pt>
                <c:pt idx="60">
                  <c:v>23.332462933932984</c:v>
                </c:pt>
                <c:pt idx="61">
                  <c:v>24.564075869062869</c:v>
                </c:pt>
                <c:pt idx="62">
                  <c:v>29.374776579777723</c:v>
                </c:pt>
                <c:pt idx="63">
                  <c:v>28.546325994256442</c:v>
                </c:pt>
                <c:pt idx="64">
                  <c:v>28.008395391895444</c:v>
                </c:pt>
                <c:pt idx="65">
                  <c:v>29.284672022663095</c:v>
                </c:pt>
                <c:pt idx="66">
                  <c:v>29.478870121996017</c:v>
                </c:pt>
                <c:pt idx="67">
                  <c:v>28.839177474934004</c:v>
                </c:pt>
                <c:pt idx="68">
                  <c:v>28.690420237077944</c:v>
                </c:pt>
                <c:pt idx="69">
                  <c:v>29.671513889650754</c:v>
                </c:pt>
                <c:pt idx="70">
                  <c:v>30.409082752218318</c:v>
                </c:pt>
                <c:pt idx="71">
                  <c:v>32.083858737560014</c:v>
                </c:pt>
                <c:pt idx="72">
                  <c:v>32.671893196432421</c:v>
                </c:pt>
                <c:pt idx="73">
                  <c:v>32.765883582742511</c:v>
                </c:pt>
              </c:numCache>
            </c:numRef>
          </c:val>
          <c:smooth val="0"/>
          <c:extLst>
            <c:ext xmlns:c16="http://schemas.microsoft.com/office/drawing/2014/chart" uri="{C3380CC4-5D6E-409C-BE32-E72D297353CC}">
              <c16:uniqueId val="{00000001-C98E-4F50-88CA-4B0423FEFA0A}"/>
            </c:ext>
          </c:extLst>
        </c:ser>
        <c:ser>
          <c:idx val="0"/>
          <c:order val="1"/>
          <c:tx>
            <c:strRef>
              <c:f>'AMPE-MCVE'!$C$7</c:f>
              <c:strCache>
                <c:ptCount val="1"/>
                <c:pt idx="0">
                  <c:v>AMPE</c:v>
                </c:pt>
              </c:strCache>
            </c:strRef>
          </c:tx>
          <c:spPr>
            <a:ln w="28575" cap="rnd">
              <a:solidFill>
                <a:schemeClr val="accent1"/>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0-C98E-4F50-88CA-4B0423FEFA0A}"/>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7889698364066967"/>
          <c:y val="6.9088271809811808E-2"/>
          <c:w val="0.46946621707294001"/>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AMPE-2020</a:t>
            </a:r>
            <a:r>
              <a:rPr lang="en-GB" b="1" baseline="0"/>
              <a:t> and MCVE-2020</a:t>
            </a:r>
            <a:endParaRPr lang="en-GB" b="1"/>
          </a:p>
        </c:rich>
      </c:tx>
      <c:layout>
        <c:manualLayout>
          <c:xMode val="edge"/>
          <c:yMode val="edge"/>
          <c:x val="0.28380780312811388"/>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v>AMPE-2020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1-0F73-4AE9-A006-15346E207611}"/>
            </c:ext>
          </c:extLst>
        </c:ser>
        <c:ser>
          <c:idx val="1"/>
          <c:order val="1"/>
          <c:tx>
            <c:v>MCVE-2020</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0F73-4AE9-A006-15346E207611}"/>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D0D-471A-A433-2781E047BF39}"/>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D0D-471A-A433-2781E047BF39}"/>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D-45E0-863F-B6D5F7BE981F}"/>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D-45E0-863F-B6D5F7BE981F}"/>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r>
              <a:rPr lang="en-GB" b="1" baseline="0"/>
              <a:t> and MCVE </a:t>
            </a:r>
          </a:p>
        </c:rich>
      </c:tx>
      <c:layout>
        <c:manualLayout>
          <c:xMode val="edge"/>
          <c:yMode val="edge"/>
          <c:x val="0.34791334786190714"/>
          <c:y val="6.0416742976447738E-3"/>
        </c:manualLayout>
      </c:layout>
      <c:overlay val="0"/>
      <c:spPr>
        <a:noFill/>
        <a:ln w="25400">
          <a:noFill/>
        </a:ln>
      </c:spPr>
    </c:title>
    <c:autoTitleDeleted val="0"/>
    <c:plotArea>
      <c:layout>
        <c:manualLayout>
          <c:layoutTarget val="inner"/>
          <c:xMode val="edge"/>
          <c:yMode val="edge"/>
          <c:x val="8.7657098765432095E-2"/>
          <c:y val="0.1980735595765723"/>
          <c:w val="0.88138179012345674"/>
          <c:h val="0.56104469616497565"/>
        </c:manualLayout>
      </c:layout>
      <c:lineChart>
        <c:grouping val="standard"/>
        <c:varyColors val="0"/>
        <c:ser>
          <c:idx val="0"/>
          <c:order val="0"/>
          <c:tx>
            <c:strRef>
              <c:f>'AMPE-MCVE'!$C$7</c:f>
              <c:strCache>
                <c:ptCount val="1"/>
                <c:pt idx="0">
                  <c:v>AMPE</c:v>
                </c:pt>
              </c:strCache>
            </c:strRef>
          </c:tx>
          <c:spPr>
            <a:ln w="28575"/>
          </c:spPr>
          <c:marker>
            <c:symbol val="none"/>
          </c:marker>
          <c:cat>
            <c:numRef>
              <c:f>'AMPE-MCVE'!$B$9:$B$140</c:f>
              <c:numCache>
                <c:formatCode>mmm\-yy</c:formatCode>
                <c:ptCount val="13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numCache>
            </c:numRef>
          </c:cat>
          <c:val>
            <c:numRef>
              <c:f>'AMPE-MCVE'!$C$9:$C$139</c:f>
              <c:numCache>
                <c:formatCode>#,##0.0</c:formatCode>
                <c:ptCount val="131"/>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pt idx="74">
                  <c:v>32.464124769243682</c:v>
                </c:pt>
                <c:pt idx="75">
                  <c:v>31.592276402886366</c:v>
                </c:pt>
                <c:pt idx="76">
                  <c:v>32.097709258926962</c:v>
                </c:pt>
                <c:pt idx="77">
                  <c:v>33.853443229842831</c:v>
                </c:pt>
                <c:pt idx="78">
                  <c:v>36.569184418310556</c:v>
                </c:pt>
                <c:pt idx="79">
                  <c:v>42.282226604914911</c:v>
                </c:pt>
                <c:pt idx="80">
                  <c:v>44.703392658750154</c:v>
                </c:pt>
                <c:pt idx="81">
                  <c:v>47.312971284830951</c:v>
                </c:pt>
                <c:pt idx="82">
                  <c:v>48.856532642515788</c:v>
                </c:pt>
                <c:pt idx="83">
                  <c:v>54.478438413681843</c:v>
                </c:pt>
                <c:pt idx="84">
                  <c:v>56.324652520598292</c:v>
                </c:pt>
                <c:pt idx="85">
                  <c:v>55.095014539711784</c:v>
                </c:pt>
                <c:pt idx="86">
                  <c:v>56.434671269515398</c:v>
                </c:pt>
                <c:pt idx="87">
                  <c:v>54.745897958893764</c:v>
                </c:pt>
                <c:pt idx="88">
                  <c:v>51.318416184899505</c:v>
                </c:pt>
                <c:pt idx="89">
                  <c:v>53.131965521685999</c:v>
                </c:pt>
                <c:pt idx="90">
                  <c:v>51.270759401147288</c:v>
                </c:pt>
                <c:pt idx="91">
                  <c:v>44.689592205857679</c:v>
                </c:pt>
                <c:pt idx="92">
                  <c:v>39.630332023919159</c:v>
                </c:pt>
                <c:pt idx="93">
                  <c:v>35.087981384810156</c:v>
                </c:pt>
                <c:pt idx="94">
                  <c:v>33.469053916123642</c:v>
                </c:pt>
                <c:pt idx="95">
                  <c:v>34.551080356493181</c:v>
                </c:pt>
                <c:pt idx="96">
                  <c:v>31.807534316104643</c:v>
                </c:pt>
                <c:pt idx="97">
                  <c:v>32.013329836121017</c:v>
                </c:pt>
                <c:pt idx="98">
                  <c:v>32.657242412250305</c:v>
                </c:pt>
                <c:pt idx="99">
                  <c:v>29.664590893359183</c:v>
                </c:pt>
                <c:pt idx="100">
                  <c:v>28.612363457108355</c:v>
                </c:pt>
                <c:pt idx="101">
                  <c:v>28.808642024855342</c:v>
                </c:pt>
                <c:pt idx="102">
                  <c:v>34.51961458746824</c:v>
                </c:pt>
                <c:pt idx="103">
                  <c:v>37.658690658783783</c:v>
                </c:pt>
                <c:pt idx="104">
                  <c:v>37.951218840244145</c:v>
                </c:pt>
                <c:pt idx="105">
                  <c:v>37.443882174523132</c:v>
                </c:pt>
                <c:pt idx="106">
                  <c:v>37.618971284025122</c:v>
                </c:pt>
                <c:pt idx="107">
                  <c:v>36.617638389337053</c:v>
                </c:pt>
                <c:pt idx="108">
                  <c:v>36.141258814273769</c:v>
                </c:pt>
                <c:pt idx="109">
                  <c:v>37.076337988828378</c:v>
                </c:pt>
                <c:pt idx="110">
                  <c:v>40.495987677852511</c:v>
                </c:pt>
                <c:pt idx="111">
                  <c:v>40.488741391093811</c:v>
                </c:pt>
                <c:pt idx="112">
                  <c:v>42.684913293438314</c:v>
                </c:pt>
                <c:pt idx="113">
                  <c:v>50.032009188338044</c:v>
                </c:pt>
                <c:pt idx="114">
                  <c:v>48.21366118144072</c:v>
                </c:pt>
                <c:pt idx="115">
                  <c:v>48.965669663750127</c:v>
                </c:pt>
                <c:pt idx="116">
                  <c:v>48.107317383396804</c:v>
                </c:pt>
                <c:pt idx="117">
                  <c:v>46.475934342854273</c:v>
                </c:pt>
                <c:pt idx="118">
                  <c:v>44.400891953081818</c:v>
                </c:pt>
                <c:pt idx="119">
                  <c:v>45.094133100292659</c:v>
                </c:pt>
                <c:pt idx="120">
                  <c:v>44.68774503285163</c:v>
                </c:pt>
                <c:pt idx="121">
                  <c:v>44.644713496203828</c:v>
                </c:pt>
                <c:pt idx="122">
                  <c:v>45.256220438773312</c:v>
                </c:pt>
                <c:pt idx="123">
                  <c:v>45.07882166239294</c:v>
                </c:pt>
                <c:pt idx="124">
                  <c:v>44.753547581915868</c:v>
                </c:pt>
                <c:pt idx="125">
                  <c:v>41.268871458742979</c:v>
                </c:pt>
                <c:pt idx="126">
                  <c:v>35.873269816114259</c:v>
                </c:pt>
                <c:pt idx="127">
                  <c:v>33.615371738043102</c:v>
                </c:pt>
                <c:pt idx="128">
                  <c:v>29.879880446646958</c:v>
                </c:pt>
                <c:pt idx="129">
                  <c:v>30.090977295703325</c:v>
                </c:pt>
                <c:pt idx="130">
                  <c:v>32.75156940078049</c:v>
                </c:pt>
              </c:numCache>
            </c:numRef>
          </c:val>
          <c:smooth val="0"/>
          <c:extLst>
            <c:ext xmlns:c16="http://schemas.microsoft.com/office/drawing/2014/chart" uri="{C3380CC4-5D6E-409C-BE32-E72D297353CC}">
              <c16:uniqueId val="{00000000-FB52-4934-B0C2-CF40E68A45E6}"/>
            </c:ext>
          </c:extLst>
        </c:ser>
        <c:ser>
          <c:idx val="1"/>
          <c:order val="1"/>
          <c:tx>
            <c:strRef>
              <c:f>'AMPE-MCVE'!$D$7</c:f>
              <c:strCache>
                <c:ptCount val="1"/>
                <c:pt idx="0">
                  <c:v>MCVE</c:v>
                </c:pt>
              </c:strCache>
            </c:strRef>
          </c:tx>
          <c:spPr>
            <a:ln w="28575" cap="rnd">
              <a:solidFill>
                <a:schemeClr val="accent2"/>
              </a:solidFill>
              <a:round/>
            </a:ln>
            <a:effectLst/>
          </c:spPr>
          <c:marker>
            <c:symbol val="none"/>
          </c:marker>
          <c:cat>
            <c:numRef>
              <c:f>'AMPE-MCVE'!$B$9:$B$140</c:f>
              <c:numCache>
                <c:formatCode>mmm\-yy</c:formatCode>
                <c:ptCount val="13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numCache>
            </c:numRef>
          </c:cat>
          <c:val>
            <c:numRef>
              <c:f>'AMPE-MCVE'!$D$9:$D$140</c:f>
              <c:numCache>
                <c:formatCode>#,##0.0</c:formatCode>
                <c:ptCount val="132"/>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pt idx="74">
                  <c:v>33.620309088638329</c:v>
                </c:pt>
                <c:pt idx="75">
                  <c:v>33.426200769061225</c:v>
                </c:pt>
                <c:pt idx="76">
                  <c:v>33.455540600138526</c:v>
                </c:pt>
                <c:pt idx="77">
                  <c:v>34.427595184205231</c:v>
                </c:pt>
                <c:pt idx="78">
                  <c:v>36.560061761074095</c:v>
                </c:pt>
                <c:pt idx="79">
                  <c:v>39.218619112234485</c:v>
                </c:pt>
                <c:pt idx="80">
                  <c:v>40.983469729060694</c:v>
                </c:pt>
                <c:pt idx="81">
                  <c:v>43.12206370095663</c:v>
                </c:pt>
                <c:pt idx="82">
                  <c:v>45.813163220043286</c:v>
                </c:pt>
                <c:pt idx="83">
                  <c:v>49.947518389966262</c:v>
                </c:pt>
                <c:pt idx="84">
                  <c:v>51.976834340923993</c:v>
                </c:pt>
                <c:pt idx="85">
                  <c:v>53.144388735429217</c:v>
                </c:pt>
                <c:pt idx="86">
                  <c:v>54.09319563294936</c:v>
                </c:pt>
                <c:pt idx="87">
                  <c:v>53.00591183379251</c:v>
                </c:pt>
                <c:pt idx="88">
                  <c:v>52.058310318145416</c:v>
                </c:pt>
                <c:pt idx="89">
                  <c:v>53.919313423569214</c:v>
                </c:pt>
                <c:pt idx="90">
                  <c:v>53.952721214168292</c:v>
                </c:pt>
                <c:pt idx="91">
                  <c:v>52.294021384611995</c:v>
                </c:pt>
                <c:pt idx="92">
                  <c:v>47.848012247440799</c:v>
                </c:pt>
                <c:pt idx="93">
                  <c:v>44.454500055621089</c:v>
                </c:pt>
                <c:pt idx="94">
                  <c:v>38.255952055585503</c:v>
                </c:pt>
                <c:pt idx="95">
                  <c:v>38.082119216504104</c:v>
                </c:pt>
                <c:pt idx="96">
                  <c:v>36.422202881826806</c:v>
                </c:pt>
                <c:pt idx="97">
                  <c:v>36.249297350892725</c:v>
                </c:pt>
                <c:pt idx="98">
                  <c:v>36.316070067241014</c:v>
                </c:pt>
                <c:pt idx="99">
                  <c:v>34.602837395279927</c:v>
                </c:pt>
                <c:pt idx="100">
                  <c:v>32.896049748160678</c:v>
                </c:pt>
                <c:pt idx="101">
                  <c:v>32.16830663474726</c:v>
                </c:pt>
                <c:pt idx="102">
                  <c:v>33.283651684056096</c:v>
                </c:pt>
                <c:pt idx="103">
                  <c:v>35.169120372550928</c:v>
                </c:pt>
                <c:pt idx="104">
                  <c:v>36.536952701759525</c:v>
                </c:pt>
                <c:pt idx="105">
                  <c:v>37.613866985832232</c:v>
                </c:pt>
                <c:pt idx="106">
                  <c:v>36.812023863411596</c:v>
                </c:pt>
                <c:pt idx="107">
                  <c:v>36.282420759473645</c:v>
                </c:pt>
                <c:pt idx="108">
                  <c:v>35.568433761410908</c:v>
                </c:pt>
                <c:pt idx="109">
                  <c:v>36.404219095239952</c:v>
                </c:pt>
                <c:pt idx="110">
                  <c:v>38.190371114730887</c:v>
                </c:pt>
                <c:pt idx="111">
                  <c:v>39.651802529132752</c:v>
                </c:pt>
                <c:pt idx="112">
                  <c:v>40.946576748323018</c:v>
                </c:pt>
                <c:pt idx="113">
                  <c:v>46.777924885212144</c:v>
                </c:pt>
                <c:pt idx="114">
                  <c:v>48.473652449563097</c:v>
                </c:pt>
                <c:pt idx="115">
                  <c:v>47.334261198890871</c:v>
                </c:pt>
                <c:pt idx="116">
                  <c:v>46.216022495840534</c:v>
                </c:pt>
                <c:pt idx="117">
                  <c:v>45.113762277795942</c:v>
                </c:pt>
                <c:pt idx="118">
                  <c:v>44.84047419951122</c:v>
                </c:pt>
                <c:pt idx="119">
                  <c:v>45.66527324040733</c:v>
                </c:pt>
                <c:pt idx="120">
                  <c:v>45.701897299673135</c:v>
                </c:pt>
                <c:pt idx="121">
                  <c:v>44.728700556404142</c:v>
                </c:pt>
                <c:pt idx="122">
                  <c:v>44.165570351925737</c:v>
                </c:pt>
                <c:pt idx="123">
                  <c:v>43.861975058501983</c:v>
                </c:pt>
                <c:pt idx="124">
                  <c:v>43.255628651225621</c:v>
                </c:pt>
                <c:pt idx="125">
                  <c:v>38.489015676080392</c:v>
                </c:pt>
                <c:pt idx="126">
                  <c:v>34.694595477710436</c:v>
                </c:pt>
                <c:pt idx="127">
                  <c:v>33.028987436888812</c:v>
                </c:pt>
                <c:pt idx="128">
                  <c:v>31.495034571971114</c:v>
                </c:pt>
                <c:pt idx="129">
                  <c:v>31.782697592174475</c:v>
                </c:pt>
                <c:pt idx="130">
                  <c:v>32.707922571242321</c:v>
                </c:pt>
              </c:numCache>
            </c:numRef>
          </c:val>
          <c:smooth val="0"/>
          <c:extLst>
            <c:ext xmlns:c16="http://schemas.microsoft.com/office/drawing/2014/chart" uri="{C3380CC4-5D6E-409C-BE32-E72D297353CC}">
              <c16:uniqueId val="{00000001-FB52-4934-B0C2-CF40E68A45E6}"/>
            </c:ext>
          </c:extLst>
        </c:ser>
        <c:dLbls>
          <c:showLegendKey val="0"/>
          <c:showVal val="0"/>
          <c:showCatName val="0"/>
          <c:showSerName val="0"/>
          <c:showPercent val="0"/>
          <c:showBubbleSize val="0"/>
        </c:dLbls>
        <c:smooth val="0"/>
        <c:axId val="615092640"/>
        <c:axId val="1"/>
      </c:lineChart>
      <c:dateAx>
        <c:axId val="615092640"/>
        <c:scaling>
          <c:orientation val="minMax"/>
          <c:max val="46054"/>
          <c:min val="44958"/>
        </c:scaling>
        <c:delete val="0"/>
        <c:axPos val="b"/>
        <c:title>
          <c:tx>
            <c:rich>
              <a:bodyPr/>
              <a:lstStyle/>
              <a:p>
                <a:pPr>
                  <a:defRPr/>
                </a:pPr>
                <a:r>
                  <a:rPr lang="en-GB"/>
                  <a:t>Source: AHDB  *Actual Milk Price Equivalent (AMPE), </a:t>
                </a:r>
              </a:p>
              <a:p>
                <a:pPr>
                  <a:defRPr/>
                </a:pPr>
                <a:r>
                  <a:rPr lang="en-GB"/>
                  <a:t>Milk for Cheese Value Equivalent (MCVE)                            </a:t>
                </a:r>
              </a:p>
            </c:rich>
          </c:tx>
          <c:layout>
            <c:manualLayout>
              <c:xMode val="edge"/>
              <c:yMode val="edge"/>
              <c:x val="4.7403759084781493E-3"/>
              <c:y val="0.911004404600564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786933755092008"/>
          <c:y val="0.11269939745796857"/>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b="1"/>
              <a:t>Milk Market Value</a:t>
            </a:r>
          </a:p>
          <a:p>
            <a:pPr>
              <a:defRPr b="1"/>
            </a:pPr>
            <a:endParaRPr lang="en-GB" b="1"/>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83780864197531"/>
          <c:y val="0.15150625000000004"/>
          <c:w val="0.8682743827160494"/>
          <c:h val="0.63509027777777782"/>
        </c:manualLayout>
      </c:layout>
      <c:lineChart>
        <c:grouping val="standard"/>
        <c:varyColors val="0"/>
        <c:ser>
          <c:idx val="0"/>
          <c:order val="0"/>
          <c:spPr>
            <a:ln w="28575" cap="rnd">
              <a:solidFill>
                <a:schemeClr val="accent1"/>
              </a:solidFill>
              <a:round/>
            </a:ln>
            <a:effectLst/>
          </c:spPr>
          <c:marker>
            <c:symbol val="none"/>
          </c:marker>
          <c:cat>
            <c:numRef>
              <c:f>MMV!$B$10:$B$203</c:f>
              <c:numCache>
                <c:formatCode>mmm\-yy</c:formatCode>
                <c:ptCount val="19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numCache>
            </c:numRef>
          </c:cat>
          <c:val>
            <c:numRef>
              <c:f>MMV!$C$10:$C$203</c:f>
              <c:numCache>
                <c:formatCode>0.0</c:formatCode>
                <c:ptCount val="194"/>
                <c:pt idx="0">
                  <c:v>23.583438102261695</c:v>
                </c:pt>
                <c:pt idx="1">
                  <c:v>23.107135021791638</c:v>
                </c:pt>
                <c:pt idx="2">
                  <c:v>22.661023512168438</c:v>
                </c:pt>
                <c:pt idx="3">
                  <c:v>21.405033024348061</c:v>
                </c:pt>
                <c:pt idx="4">
                  <c:v>19.195255581268434</c:v>
                </c:pt>
                <c:pt idx="5">
                  <c:v>19.619037495162189</c:v>
                </c:pt>
                <c:pt idx="6">
                  <c:v>20.124609867865551</c:v>
                </c:pt>
                <c:pt idx="7">
                  <c:v>18.486262911367664</c:v>
                </c:pt>
                <c:pt idx="8">
                  <c:v>18.352001038909002</c:v>
                </c:pt>
                <c:pt idx="9">
                  <c:v>17.399139290732172</c:v>
                </c:pt>
                <c:pt idx="10">
                  <c:v>17.127135604432262</c:v>
                </c:pt>
                <c:pt idx="11">
                  <c:v>16.072860274558927</c:v>
                </c:pt>
                <c:pt idx="12">
                  <c:v>15.663095213559561</c:v>
                </c:pt>
                <c:pt idx="13">
                  <c:v>16.61067827316824</c:v>
                </c:pt>
                <c:pt idx="14">
                  <c:v>19.491217211027774</c:v>
                </c:pt>
                <c:pt idx="15">
                  <c:v>23.50852206430153</c:v>
                </c:pt>
                <c:pt idx="16">
                  <c:v>27.618778168032676</c:v>
                </c:pt>
                <c:pt idx="17">
                  <c:v>31.613683434457585</c:v>
                </c:pt>
                <c:pt idx="18">
                  <c:v>33.41964173255608</c:v>
                </c:pt>
                <c:pt idx="19">
                  <c:v>33.238706462298026</c:v>
                </c:pt>
                <c:pt idx="20">
                  <c:v>33.023307899129314</c:v>
                </c:pt>
                <c:pt idx="21">
                  <c:v>33.064114564195897</c:v>
                </c:pt>
                <c:pt idx="22">
                  <c:v>31.473979575974866</c:v>
                </c:pt>
                <c:pt idx="23">
                  <c:v>31.223895013619796</c:v>
                </c:pt>
                <c:pt idx="24">
                  <c:v>30.963559182932279</c:v>
                </c:pt>
                <c:pt idx="25">
                  <c:v>32.835124282186086</c:v>
                </c:pt>
                <c:pt idx="26">
                  <c:v>36.813611749548983</c:v>
                </c:pt>
                <c:pt idx="27">
                  <c:v>37.052557505550269</c:v>
                </c:pt>
                <c:pt idx="28">
                  <c:v>38.982239122742783</c:v>
                </c:pt>
                <c:pt idx="29">
                  <c:v>38.762557790195579</c:v>
                </c:pt>
                <c:pt idx="30">
                  <c:v>35.830983315959593</c:v>
                </c:pt>
                <c:pt idx="31">
                  <c:v>33.736370944665218</c:v>
                </c:pt>
                <c:pt idx="32">
                  <c:v>30.769540374532323</c:v>
                </c:pt>
                <c:pt idx="33">
                  <c:v>28.884515254582229</c:v>
                </c:pt>
                <c:pt idx="34">
                  <c:v>30.418528017998895</c:v>
                </c:pt>
                <c:pt idx="35">
                  <c:v>30.17629355516646</c:v>
                </c:pt>
                <c:pt idx="36">
                  <c:v>30.885178988235577</c:v>
                </c:pt>
                <c:pt idx="37">
                  <c:v>32.477641593821765</c:v>
                </c:pt>
                <c:pt idx="38">
                  <c:v>32.864942026653239</c:v>
                </c:pt>
                <c:pt idx="39">
                  <c:v>33.055662494705061</c:v>
                </c:pt>
                <c:pt idx="40">
                  <c:v>33.530662317368495</c:v>
                </c:pt>
                <c:pt idx="41">
                  <c:v>33.273185896293505</c:v>
                </c:pt>
                <c:pt idx="42">
                  <c:v>32.440828444558576</c:v>
                </c:pt>
                <c:pt idx="43">
                  <c:v>30.850367304160251</c:v>
                </c:pt>
                <c:pt idx="44">
                  <c:v>30.918347659183638</c:v>
                </c:pt>
                <c:pt idx="45">
                  <c:v>31.920495325488375</c:v>
                </c:pt>
                <c:pt idx="46">
                  <c:v>31.602637764670661</c:v>
                </c:pt>
                <c:pt idx="47">
                  <c:v>30.893834175591827</c:v>
                </c:pt>
                <c:pt idx="48">
                  <c:v>30.598870523516762</c:v>
                </c:pt>
                <c:pt idx="49">
                  <c:v>30.649946363172511</c:v>
                </c:pt>
                <c:pt idx="50">
                  <c:v>30.56524209265784</c:v>
                </c:pt>
                <c:pt idx="51">
                  <c:v>30.175663996839766</c:v>
                </c:pt>
                <c:pt idx="52">
                  <c:v>30.05332966715725</c:v>
                </c:pt>
                <c:pt idx="53">
                  <c:v>30.460658990248312</c:v>
                </c:pt>
                <c:pt idx="54">
                  <c:v>30.710755088101219</c:v>
                </c:pt>
                <c:pt idx="55">
                  <c:v>30.991530023456932</c:v>
                </c:pt>
                <c:pt idx="56">
                  <c:v>30.968154145441972</c:v>
                </c:pt>
                <c:pt idx="57">
                  <c:v>31.052912894439693</c:v>
                </c:pt>
                <c:pt idx="58">
                  <c:v>31.130556308522159</c:v>
                </c:pt>
                <c:pt idx="59">
                  <c:v>31.077017480591913</c:v>
                </c:pt>
                <c:pt idx="60">
                  <c:v>29.303646929628744</c:v>
                </c:pt>
                <c:pt idx="61">
                  <c:v>29.845202219195286</c:v>
                </c:pt>
                <c:pt idx="62">
                  <c:v>31.14187129879906</c:v>
                </c:pt>
                <c:pt idx="63">
                  <c:v>31.062001758763813</c:v>
                </c:pt>
                <c:pt idx="64">
                  <c:v>30.88145390791496</c:v>
                </c:pt>
                <c:pt idx="65">
                  <c:v>31.182226301849546</c:v>
                </c:pt>
                <c:pt idx="66">
                  <c:v>31.259506029222027</c:v>
                </c:pt>
                <c:pt idx="67">
                  <c:v>31.073794068866881</c:v>
                </c:pt>
                <c:pt idx="68">
                  <c:v>31.360872763083314</c:v>
                </c:pt>
                <c:pt idx="69">
                  <c:v>31.675223147156341</c:v>
                </c:pt>
                <c:pt idx="70">
                  <c:v>32.144983661440051</c:v>
                </c:pt>
                <c:pt idx="71">
                  <c:v>32.876394833039626</c:v>
                </c:pt>
                <c:pt idx="72">
                  <c:v>33.396052186277636</c:v>
                </c:pt>
                <c:pt idx="73">
                  <c:v>33.528315721847541</c:v>
                </c:pt>
                <c:pt idx="74">
                  <c:v>33.389072224759403</c:v>
                </c:pt>
                <c:pt idx="75">
                  <c:v>33.059415895826255</c:v>
                </c:pt>
                <c:pt idx="76">
                  <c:v>33.183974331896216</c:v>
                </c:pt>
                <c:pt idx="77">
                  <c:v>34.312764793332754</c:v>
                </c:pt>
                <c:pt idx="78">
                  <c:v>36.561886292521386</c:v>
                </c:pt>
                <c:pt idx="79">
                  <c:v>39.831340610770567</c:v>
                </c:pt>
                <c:pt idx="80">
                  <c:v>41.727454314998589</c:v>
                </c:pt>
                <c:pt idx="81">
                  <c:v>43.960245217731497</c:v>
                </c:pt>
                <c:pt idx="82">
                  <c:v>46.421837104537794</c:v>
                </c:pt>
                <c:pt idx="83">
                  <c:v>50.853702394709387</c:v>
                </c:pt>
                <c:pt idx="84">
                  <c:v>52.84639797685886</c:v>
                </c:pt>
                <c:pt idx="85">
                  <c:v>53.534513896285738</c:v>
                </c:pt>
                <c:pt idx="86">
                  <c:v>54.561490760262572</c:v>
                </c:pt>
                <c:pt idx="87">
                  <c:v>53.353909058812761</c:v>
                </c:pt>
                <c:pt idx="88">
                  <c:v>51.910331491496237</c:v>
                </c:pt>
                <c:pt idx="89">
                  <c:v>53.76184384319258</c:v>
                </c:pt>
                <c:pt idx="90">
                  <c:v>53.416328851564096</c:v>
                </c:pt>
                <c:pt idx="91">
                  <c:v>50.773135548861134</c:v>
                </c:pt>
                <c:pt idx="92">
                  <c:v>46.204476202736473</c:v>
                </c:pt>
                <c:pt idx="93">
                  <c:v>42.581196321458904</c:v>
                </c:pt>
                <c:pt idx="94">
                  <c:v>37.298572427693131</c:v>
                </c:pt>
                <c:pt idx="95">
                  <c:v>37.375911444501924</c:v>
                </c:pt>
                <c:pt idx="96">
                  <c:v>35.499269168682375</c:v>
                </c:pt>
                <c:pt idx="97">
                  <c:v>35.402103847938385</c:v>
                </c:pt>
                <c:pt idx="98">
                  <c:v>35.584304536242875</c:v>
                </c:pt>
                <c:pt idx="99">
                  <c:v>33.615188094895785</c:v>
                </c:pt>
                <c:pt idx="100">
                  <c:v>32.03931248995022</c:v>
                </c:pt>
                <c:pt idx="101">
                  <c:v>31.496373712768879</c:v>
                </c:pt>
                <c:pt idx="102">
                  <c:v>33.530844264738526</c:v>
                </c:pt>
                <c:pt idx="103">
                  <c:v>35.667034429797496</c:v>
                </c:pt>
                <c:pt idx="104">
                  <c:v>36.81980592945645</c:v>
                </c:pt>
                <c:pt idx="105">
                  <c:v>37.579870023570415</c:v>
                </c:pt>
                <c:pt idx="106">
                  <c:v>36.973413347534304</c:v>
                </c:pt>
                <c:pt idx="107">
                  <c:v>36.349464285446331</c:v>
                </c:pt>
                <c:pt idx="108">
                  <c:v>35.682998771983478</c:v>
                </c:pt>
                <c:pt idx="109">
                  <c:v>36.538642873957642</c:v>
                </c:pt>
                <c:pt idx="110">
                  <c:v>38.65149442735521</c:v>
                </c:pt>
                <c:pt idx="111">
                  <c:v>39.819190301524969</c:v>
                </c:pt>
                <c:pt idx="112">
                  <c:v>41.294244057346077</c:v>
                </c:pt>
                <c:pt idx="113">
                  <c:v>47.428741745837328</c:v>
                </c:pt>
                <c:pt idx="114">
                  <c:v>48.421654195938629</c:v>
                </c:pt>
                <c:pt idx="115">
                  <c:v>47.660542891862725</c:v>
                </c:pt>
                <c:pt idx="116">
                  <c:v>46.594281473351785</c:v>
                </c:pt>
                <c:pt idx="117">
                  <c:v>45.386196690807608</c:v>
                </c:pt>
                <c:pt idx="118">
                  <c:v>44.752557750225343</c:v>
                </c:pt>
                <c:pt idx="119">
                  <c:v>45.551045212384402</c:v>
                </c:pt>
                <c:pt idx="120">
                  <c:v>45.499066846308835</c:v>
                </c:pt>
                <c:pt idx="121">
                  <c:v>44.711903144364079</c:v>
                </c:pt>
                <c:pt idx="122">
                  <c:v>44.383700369295255</c:v>
                </c:pt>
                <c:pt idx="123">
                  <c:v>44.105344379280176</c:v>
                </c:pt>
                <c:pt idx="124">
                  <c:v>43.555212437363679</c:v>
                </c:pt>
                <c:pt idx="125">
                  <c:v>39.044986832612913</c:v>
                </c:pt>
                <c:pt idx="126">
                  <c:v>34.930330345391198</c:v>
                </c:pt>
                <c:pt idx="127">
                  <c:v>33.146264297119671</c:v>
                </c:pt>
                <c:pt idx="128">
                  <c:v>31.172003746906285</c:v>
                </c:pt>
                <c:pt idx="129">
                  <c:v>31.44435353288025</c:v>
                </c:pt>
                <c:pt idx="130">
                  <c:v>32.716651937149955</c:v>
                </c:pt>
              </c:numCache>
            </c:numRef>
          </c:val>
          <c:smooth val="0"/>
          <c:extLst>
            <c:ext xmlns:c16="http://schemas.microsoft.com/office/drawing/2014/chart" uri="{C3380CC4-5D6E-409C-BE32-E72D297353CC}">
              <c16:uniqueId val="{00000000-C3D1-4AA4-9D90-1FA3B692857F}"/>
            </c:ext>
          </c:extLst>
        </c:ser>
        <c:dLbls>
          <c:showLegendKey val="0"/>
          <c:showVal val="0"/>
          <c:showCatName val="0"/>
          <c:showSerName val="0"/>
          <c:showPercent val="0"/>
          <c:showBubbleSize val="0"/>
        </c:dLbls>
        <c:smooth val="0"/>
        <c:axId val="1717995792"/>
        <c:axId val="1717996208"/>
      </c:lineChart>
      <c:dateAx>
        <c:axId val="1717995792"/>
        <c:scaling>
          <c:orientation val="minMax"/>
          <c:max val="46054"/>
          <c:min val="4495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6208"/>
        <c:crosses val="autoZero"/>
        <c:auto val="1"/>
        <c:lblOffset val="100"/>
        <c:baseTimeUnit val="months"/>
        <c:majorUnit val="3"/>
        <c:majorTimeUnit val="months"/>
      </c:dateAx>
      <c:valAx>
        <c:axId val="1717996208"/>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a:t>ppl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5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330517</xdr:colOff>
      <xdr:row>1</xdr:row>
      <xdr:rowOff>2954</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8669" cy="352204"/>
        </a:xfrm>
        <a:prstGeom prst="rect">
          <a:avLst/>
        </a:prstGeom>
      </xdr:spPr>
    </xdr:pic>
    <xdr:clientData/>
  </xdr:twoCellAnchor>
  <xdr:twoCellAnchor editAs="oneCell">
    <xdr:from>
      <xdr:col>0</xdr:col>
      <xdr:colOff>460659</xdr:colOff>
      <xdr:row>0</xdr:row>
      <xdr:rowOff>0</xdr:rowOff>
    </xdr:from>
    <xdr:to>
      <xdr:col>11</xdr:col>
      <xdr:colOff>382442</xdr:colOff>
      <xdr:row>1</xdr:row>
      <xdr:rowOff>31730</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460659</xdr:colOff>
      <xdr:row>0</xdr:row>
      <xdr:rowOff>0</xdr:rowOff>
    </xdr:from>
    <xdr:to>
      <xdr:col>11</xdr:col>
      <xdr:colOff>382442</xdr:colOff>
      <xdr:row>1</xdr:row>
      <xdr:rowOff>31730</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0</xdr:colOff>
      <xdr:row>0</xdr:row>
      <xdr:rowOff>0</xdr:rowOff>
    </xdr:from>
    <xdr:to>
      <xdr:col>17</xdr:col>
      <xdr:colOff>726721</xdr:colOff>
      <xdr:row>1</xdr:row>
      <xdr:rowOff>31695</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0" y="0"/>
          <a:ext cx="12488332" cy="375512"/>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0.84046</cdr:x>
      <cdr:y>2.34091E-7</cdr:y>
    </cdr:from>
    <cdr:to>
      <cdr:x>1</cdr:x>
      <cdr:y>0.1075</cdr:y>
    </cdr:to>
    <cdr:pic>
      <cdr:nvPicPr>
        <cdr:cNvPr id="3" name="Picture 2">
          <a:extLst xmlns:a="http://schemas.openxmlformats.org/drawingml/2006/main">
            <a:ext uri="{FF2B5EF4-FFF2-40B4-BE49-F238E27FC236}">
              <a16:creationId xmlns:a16="http://schemas.microsoft.com/office/drawing/2014/main" id="{04C1E68F-C7FA-94CF-B701-29821252C21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146615" y="1"/>
          <a:ext cx="976950" cy="459234"/>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11.xml><?xml version="1.0" encoding="utf-8"?>
<c:userShapes xmlns:c="http://schemas.openxmlformats.org/drawingml/2006/chart">
  <cdr:relSizeAnchor xmlns:cdr="http://schemas.openxmlformats.org/drawingml/2006/chartDrawing">
    <cdr:from>
      <cdr:x>0</cdr:x>
      <cdr:y>0.94809</cdr:y>
    </cdr:from>
    <cdr:to>
      <cdr:x>0.30705</cdr:x>
      <cdr:y>0.99709</cdr:y>
    </cdr:to>
    <cdr:sp macro="" textlink="">
      <cdr:nvSpPr>
        <cdr:cNvPr id="5" name="TextBox 4">
          <a:extLst xmlns:a="http://schemas.openxmlformats.org/drawingml/2006/main">
            <a:ext uri="{FF2B5EF4-FFF2-40B4-BE49-F238E27FC236}">
              <a16:creationId xmlns:a16="http://schemas.microsoft.com/office/drawing/2014/main" id="{76D4A1BD-4BF5-4101-BC74-63C3B9E168D7}"/>
            </a:ext>
          </a:extLst>
        </cdr:cNvPr>
        <cdr:cNvSpPr txBox="1"/>
      </cdr:nvSpPr>
      <cdr:spPr>
        <a:xfrm xmlns:a="http://schemas.openxmlformats.org/drawingml/2006/main">
          <a:off x="0" y="4095751"/>
          <a:ext cx="1989667"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chemeClr val="tx1"/>
              </a:solidFill>
              <a:latin typeface="Arial" panose="020B0604020202020204" pitchFamily="34" charset="0"/>
              <a:cs typeface="Arial" panose="020B0604020202020204" pitchFamily="34" charset="0"/>
            </a:rPr>
            <a:t>Source: AHDB</a:t>
          </a:r>
        </a:p>
      </cdr:txBody>
    </cdr:sp>
  </cdr:relSizeAnchor>
  <cdr:relSizeAnchor xmlns:cdr="http://schemas.openxmlformats.org/drawingml/2006/chartDrawing">
    <cdr:from>
      <cdr:x>0.83127</cdr:x>
      <cdr:y>0.03139</cdr:y>
    </cdr:from>
    <cdr:to>
      <cdr:x>0.97532</cdr:x>
      <cdr:y>0.12886</cdr:y>
    </cdr:to>
    <cdr:pic>
      <cdr:nvPicPr>
        <cdr:cNvPr id="3" name="Picture 2">
          <a:extLst xmlns:a="http://schemas.openxmlformats.org/drawingml/2006/main">
            <a:ext uri="{FF2B5EF4-FFF2-40B4-BE49-F238E27FC236}">
              <a16:creationId xmlns:a16="http://schemas.microsoft.com/office/drawing/2014/main" id="{EAEED546-1A08-1E49-E255-9FF2C03CABED}"/>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199606" y="136409"/>
          <a:ext cx="901040" cy="423557"/>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135631</xdr:colOff>
      <xdr:row>2</xdr:row>
      <xdr:rowOff>31272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754784" cy="3506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707072</xdr:colOff>
      <xdr:row>1</xdr:row>
      <xdr:rowOff>2954</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2954" cy="345854"/>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4" name="Gradientbar with swoosh 1" hidden="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0</xdr:colOff>
      <xdr:row>0</xdr:row>
      <xdr:rowOff>0</xdr:rowOff>
    </xdr:from>
    <xdr:to>
      <xdr:col>14</xdr:col>
      <xdr:colOff>59548</xdr:colOff>
      <xdr:row>1</xdr:row>
      <xdr:rowOff>25980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0"/>
          <a:ext cx="9962444" cy="350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572452</xdr:colOff>
      <xdr:row>1</xdr:row>
      <xdr:rowOff>11209</xdr:rowOff>
    </xdr:to>
    <xdr:pic>
      <xdr:nvPicPr>
        <xdr:cNvPr id="3" name="Gradientbar with swoosh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207294" cy="352204"/>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7" name="Gradientbar with swoosh 1" hidden="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0</xdr:colOff>
      <xdr:row>0</xdr:row>
      <xdr:rowOff>0</xdr:rowOff>
    </xdr:from>
    <xdr:to>
      <xdr:col>11</xdr:col>
      <xdr:colOff>274272</xdr:colOff>
      <xdr:row>1</xdr:row>
      <xdr:rowOff>10740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775478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17</xdr:row>
      <xdr:rowOff>133350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37</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28</xdr:row>
      <xdr:rowOff>21167</xdr:rowOff>
    </xdr:from>
    <xdr:to>
      <xdr:col>11</xdr:col>
      <xdr:colOff>55916</xdr:colOff>
      <xdr:row>54</xdr:row>
      <xdr:rowOff>127942</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317500</xdr:colOff>
      <xdr:row>0</xdr:row>
      <xdr:rowOff>0</xdr:rowOff>
    </xdr:from>
    <xdr:to>
      <xdr:col>11</xdr:col>
      <xdr:colOff>87666</xdr:colOff>
      <xdr:row>26</xdr:row>
      <xdr:rowOff>106775</xdr:rowOff>
    </xdr:to>
    <xdr:graphicFrame macro="">
      <xdr:nvGraphicFramePr>
        <xdr:cNvPr id="6" name="Chart 1">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433917</xdr:colOff>
      <xdr:row>56</xdr:row>
      <xdr:rowOff>52917</xdr:rowOff>
    </xdr:from>
    <xdr:to>
      <xdr:col>11</xdr:col>
      <xdr:colOff>204083</xdr:colOff>
      <xdr:row>83</xdr:row>
      <xdr:rowOff>942</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CD33BF5F-2A2F-4F61-B906-8548CC7D067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D9C12E1F-F101-4205-B94B-FD61D0034B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422121</xdr:colOff>
      <xdr:row>1</xdr:row>
      <xdr:rowOff>46628</xdr:rowOff>
    </xdr:from>
    <xdr:to>
      <xdr:col>11</xdr:col>
      <xdr:colOff>188551</xdr:colOff>
      <xdr:row>28</xdr:row>
      <xdr:rowOff>86728</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395942</xdr:colOff>
      <xdr:row>0</xdr:row>
      <xdr:rowOff>82176</xdr:rowOff>
    </xdr:from>
    <xdr:to>
      <xdr:col>22</xdr:col>
      <xdr:colOff>293856</xdr:colOff>
      <xdr:row>28</xdr:row>
      <xdr:rowOff>32630</xdr:rowOff>
    </xdr:to>
    <xdr:graphicFrame macro="">
      <xdr:nvGraphicFramePr>
        <xdr:cNvPr id="11" name="Chart 10">
          <a:extLst>
            <a:ext uri="{FF2B5EF4-FFF2-40B4-BE49-F238E27FC236}">
              <a16:creationId xmlns:a16="http://schemas.microsoft.com/office/drawing/2014/main" id="{A2DD62B3-1F29-4A5C-A7E9-64F45693A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nnabel Twinberrow" id="{EE43D842-3B11-4AA5-85D4-CF37235A24AE}" userId="S::Annabel.Twinberrow@ahdb.org.uk::d5100e05-ab00-48d3-a804-c8a29fe06418" providerId="AD"/>
</personList>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N139" dT="2026-02-23T15:06:30.13" personId="{EE43D842-3B11-4AA5-85D4-CF37235A24AE}" id="{50891D3F-313B-4BFC-9690-52A13416C845}">
    <text>Data only to 15th feb</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S343"/>
  <sheetViews>
    <sheetView showGridLines="0" zoomScaleNormal="100" zoomScaleSheetLayoutView="143" zoomScalePageLayoutView="123" workbookViewId="0">
      <pane xSplit="2" ySplit="8" topLeftCell="C136" activePane="bottomRight" state="frozen"/>
      <selection activeCell="B107" sqref="B107"/>
      <selection pane="topRight" activeCell="B107" sqref="B107"/>
      <selection pane="bottomLeft" activeCell="B107" sqref="B107"/>
      <selection pane="bottomRight" activeCell="O139" sqref="O139"/>
    </sheetView>
  </sheetViews>
  <sheetFormatPr defaultColWidth="11.3984375" defaultRowHeight="15.5" x14ac:dyDescent="0.3"/>
  <cols>
    <col min="1" max="1" width="8.69921875" style="16" customWidth="1"/>
    <col min="2" max="4" width="11.69921875" style="17" customWidth="1"/>
    <col min="5" max="5" width="4.69921875" style="17" customWidth="1"/>
    <col min="6" max="11" width="11.69921875" style="17" customWidth="1"/>
    <col min="12" max="12" width="8.59765625" style="17" customWidth="1"/>
    <col min="13" max="18" width="11.69921875" style="17" customWidth="1"/>
    <col min="19" max="16384" width="11.3984375" style="17"/>
  </cols>
  <sheetData>
    <row r="1" spans="1:45" s="4" customFormat="1" ht="27" customHeight="1" x14ac:dyDescent="0.35"/>
    <row r="2" spans="1:45" s="6" customFormat="1" ht="21" customHeight="1" x14ac:dyDescent="0.4">
      <c r="A2" s="26" t="s">
        <v>0</v>
      </c>
      <c r="B2" s="26"/>
      <c r="C2" s="26"/>
      <c r="D2" s="26"/>
      <c r="E2" s="26"/>
      <c r="F2" s="26"/>
      <c r="G2" s="26"/>
      <c r="H2" s="26"/>
      <c r="I2" s="26"/>
      <c r="J2" s="26"/>
      <c r="K2" s="26"/>
      <c r="L2" s="26"/>
      <c r="M2" s="26"/>
      <c r="N2" s="26"/>
      <c r="O2" s="26"/>
      <c r="P2" s="26"/>
      <c r="Q2" s="26"/>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10" customFormat="1" ht="12.75" customHeight="1" x14ac:dyDescent="0.3">
      <c r="A3" s="7" t="s">
        <v>22</v>
      </c>
      <c r="B3" s="7"/>
      <c r="C3" s="7"/>
      <c r="D3" s="7"/>
      <c r="E3" s="7"/>
      <c r="F3" s="7"/>
      <c r="G3" s="7"/>
      <c r="H3" s="7"/>
      <c r="I3" s="7"/>
      <c r="J3" s="7"/>
      <c r="K3" s="7"/>
      <c r="L3" s="7"/>
      <c r="M3" s="8"/>
      <c r="N3" s="9"/>
      <c r="O3" s="9"/>
      <c r="P3" s="9"/>
      <c r="Q3" s="9"/>
      <c r="R3" s="9"/>
      <c r="S3" s="9"/>
      <c r="T3" s="8"/>
      <c r="U3" s="8"/>
      <c r="V3" s="8"/>
      <c r="W3" s="8"/>
      <c r="X3" s="8"/>
      <c r="Y3" s="8"/>
      <c r="Z3" s="8"/>
      <c r="AA3" s="8"/>
      <c r="AB3" s="8"/>
      <c r="AC3" s="8"/>
      <c r="AD3" s="8"/>
      <c r="AE3" s="8"/>
      <c r="AF3" s="8"/>
      <c r="AG3" s="8"/>
      <c r="AH3" s="8"/>
      <c r="AI3" s="8"/>
      <c r="AJ3" s="8"/>
      <c r="AK3" s="8"/>
      <c r="AL3" s="8"/>
      <c r="AM3" s="8"/>
      <c r="AN3" s="8"/>
      <c r="AO3" s="8"/>
      <c r="AP3" s="8"/>
      <c r="AQ3" s="8"/>
      <c r="AR3" s="8"/>
      <c r="AS3" s="8"/>
    </row>
    <row r="4" spans="1:45" s="13" customFormat="1" ht="15" customHeight="1" x14ac:dyDescent="0.35">
      <c r="A4" s="11" t="s">
        <v>27</v>
      </c>
      <c r="B4" s="11"/>
      <c r="C4" s="11"/>
      <c r="D4" s="11"/>
      <c r="E4" s="11"/>
      <c r="F4" s="11"/>
      <c r="G4" s="11"/>
      <c r="H4" s="11"/>
      <c r="I4" s="11"/>
      <c r="J4" s="11"/>
      <c r="K4" s="11"/>
      <c r="L4" s="11"/>
      <c r="M4" s="12"/>
      <c r="N4" s="9"/>
      <c r="O4" s="9"/>
      <c r="P4" s="9"/>
      <c r="Q4" s="9"/>
      <c r="R4" s="9"/>
      <c r="S4" s="9"/>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s="15" customFormat="1" ht="13.5" customHeight="1" x14ac:dyDescent="0.35">
      <c r="A5" s="7" t="s">
        <v>65</v>
      </c>
      <c r="B5" s="7"/>
      <c r="C5" s="7"/>
      <c r="D5" s="7"/>
      <c r="E5" s="7"/>
      <c r="F5" s="7"/>
      <c r="G5" s="7"/>
      <c r="H5" s="7"/>
      <c r="I5" s="7"/>
      <c r="J5" s="7"/>
      <c r="K5" s="7"/>
      <c r="L5" s="7"/>
      <c r="M5" s="14"/>
      <c r="N5" s="9"/>
      <c r="O5" s="9"/>
      <c r="P5" s="9"/>
      <c r="Q5" s="9"/>
      <c r="R5" s="9"/>
      <c r="S5" s="9"/>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45" x14ac:dyDescent="0.3">
      <c r="A6" s="16" t="s">
        <v>35</v>
      </c>
      <c r="B6" s="16"/>
      <c r="C6" s="16"/>
      <c r="D6" s="16"/>
      <c r="E6" s="16"/>
      <c r="F6" s="99" t="s">
        <v>25</v>
      </c>
      <c r="G6" s="100"/>
      <c r="H6" s="100"/>
      <c r="I6" s="100"/>
      <c r="J6" s="100"/>
      <c r="K6" s="100"/>
      <c r="L6" s="16"/>
      <c r="M6" s="101" t="s">
        <v>26</v>
      </c>
      <c r="N6" s="102"/>
      <c r="O6" s="102"/>
      <c r="P6" s="102"/>
      <c r="Q6" s="102"/>
      <c r="R6" s="102"/>
      <c r="S6" s="9"/>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row>
    <row r="7" spans="1:45" ht="46.5" x14ac:dyDescent="0.3">
      <c r="B7" s="18"/>
      <c r="C7" s="71" t="s">
        <v>45</v>
      </c>
      <c r="D7" s="72" t="s">
        <v>46</v>
      </c>
      <c r="E7" s="16"/>
      <c r="F7" s="19" t="s">
        <v>2</v>
      </c>
      <c r="G7" s="19" t="s">
        <v>3</v>
      </c>
      <c r="H7" s="19" t="s">
        <v>30</v>
      </c>
      <c r="I7" s="19" t="s">
        <v>4</v>
      </c>
      <c r="J7" s="19" t="s">
        <v>5</v>
      </c>
      <c r="K7" s="33" t="s">
        <v>3</v>
      </c>
      <c r="M7" s="20" t="s">
        <v>7</v>
      </c>
      <c r="N7" s="20" t="s">
        <v>9</v>
      </c>
      <c r="O7" s="20" t="s">
        <v>8</v>
      </c>
      <c r="P7" s="20" t="s">
        <v>7</v>
      </c>
      <c r="Q7" s="20" t="s">
        <v>9</v>
      </c>
      <c r="R7" s="20" t="s">
        <v>8</v>
      </c>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1:45" x14ac:dyDescent="0.3">
      <c r="B8" s="18"/>
      <c r="C8" s="103" t="s">
        <v>1</v>
      </c>
      <c r="D8" s="104"/>
      <c r="E8" s="16"/>
      <c r="F8" s="21" t="s">
        <v>6</v>
      </c>
      <c r="G8" s="21" t="s">
        <v>6</v>
      </c>
      <c r="H8" s="21" t="s">
        <v>6</v>
      </c>
      <c r="I8" s="21" t="s">
        <v>1</v>
      </c>
      <c r="J8" s="21" t="s">
        <v>1</v>
      </c>
      <c r="K8" s="21" t="s">
        <v>1</v>
      </c>
      <c r="L8" s="16"/>
      <c r="M8" s="21" t="s">
        <v>6</v>
      </c>
      <c r="N8" s="21" t="s">
        <v>6</v>
      </c>
      <c r="O8" s="21" t="s">
        <v>6</v>
      </c>
      <c r="P8" s="21" t="s">
        <v>1</v>
      </c>
      <c r="Q8" s="21" t="s">
        <v>1</v>
      </c>
      <c r="R8" s="21" t="s">
        <v>1</v>
      </c>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1:45" x14ac:dyDescent="0.3">
      <c r="B9" s="42">
        <v>42095</v>
      </c>
      <c r="C9" s="37">
        <f>I9+J9+K9</f>
        <v>20.440046640791905</v>
      </c>
      <c r="D9" s="37">
        <f>P9+Q9+R9</f>
        <v>24.970627084613938</v>
      </c>
      <c r="E9" s="35"/>
      <c r="F9" s="38">
        <v>2300</v>
      </c>
      <c r="G9" s="38">
        <v>1425</v>
      </c>
      <c r="H9" s="38">
        <v>451</v>
      </c>
      <c r="I9" s="37">
        <f t="shared" ref="I9:I70" si="0">(F9-244)*100/19900</f>
        <v>10.331658291457286</v>
      </c>
      <c r="J9" s="37">
        <f t="shared" ref="J9:J70" si="1">((G9-103)-365)*100/203600</f>
        <v>0.47003929273084477</v>
      </c>
      <c r="K9" s="37">
        <f t="shared" ref="K9:K70" si="2">(G9-365-H9*8.5%)*100/10600</f>
        <v>9.6383490566037739</v>
      </c>
      <c r="L9" s="35"/>
      <c r="M9" s="38">
        <v>2350</v>
      </c>
      <c r="N9" s="38">
        <v>661.01199999999994</v>
      </c>
      <c r="O9" s="38">
        <v>2000</v>
      </c>
      <c r="P9" s="37">
        <f t="shared" ref="P9:P70" si="3">(M9-330)*100/9100</f>
        <v>22.197802197802197</v>
      </c>
      <c r="Q9" s="37">
        <f t="shared" ref="Q9:Q70" si="4">(N9-341)*100/16700</f>
        <v>1.9162395209580834</v>
      </c>
      <c r="R9" s="37">
        <f t="shared" ref="R9:R70" si="5">(O9-244)*100/205000</f>
        <v>0.85658536585365852</v>
      </c>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1:45" x14ac:dyDescent="0.3">
      <c r="B10" s="41">
        <v>42125</v>
      </c>
      <c r="C10" s="34">
        <f>I10+J10+K10</f>
        <v>18.704992071694054</v>
      </c>
      <c r="D10" s="34">
        <f>P10+Q10+R10</f>
        <v>24.798809646319796</v>
      </c>
      <c r="E10" s="35"/>
      <c r="F10" s="36">
        <v>2150</v>
      </c>
      <c r="G10" s="36">
        <v>1325</v>
      </c>
      <c r="H10" s="36">
        <v>437</v>
      </c>
      <c r="I10" s="34">
        <f t="shared" si="0"/>
        <v>9.5778894472361813</v>
      </c>
      <c r="J10" s="34">
        <f t="shared" si="1"/>
        <v>0.42092337917485267</v>
      </c>
      <c r="K10" s="34">
        <f t="shared" si="2"/>
        <v>8.7061792452830193</v>
      </c>
      <c r="L10" s="35"/>
      <c r="M10" s="36">
        <v>2350</v>
      </c>
      <c r="N10" s="36">
        <v>644.53800000000001</v>
      </c>
      <c r="O10" s="36">
        <v>1850</v>
      </c>
      <c r="P10" s="34">
        <f t="shared" si="3"/>
        <v>22.197802197802197</v>
      </c>
      <c r="Q10" s="34">
        <f t="shared" si="4"/>
        <v>1.8175928143712576</v>
      </c>
      <c r="R10" s="34">
        <f t="shared" si="5"/>
        <v>0.78341463414634149</v>
      </c>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1:45" x14ac:dyDescent="0.3">
      <c r="B11" s="42">
        <v>42156</v>
      </c>
      <c r="C11" s="37">
        <f t="shared" ref="C11:C70" si="6">I11+J11+K11</f>
        <v>18.231990718689641</v>
      </c>
      <c r="D11" s="37">
        <f t="shared" ref="D11:D70" si="7">P11+Q11+R11</f>
        <v>24.355695873864708</v>
      </c>
      <c r="E11" s="35"/>
      <c r="F11" s="38">
        <v>2150</v>
      </c>
      <c r="G11" s="38">
        <v>1275</v>
      </c>
      <c r="H11" s="38">
        <v>408</v>
      </c>
      <c r="I11" s="37">
        <f t="shared" si="0"/>
        <v>9.5778894472361813</v>
      </c>
      <c r="J11" s="37">
        <f t="shared" si="1"/>
        <v>0.39636542239685657</v>
      </c>
      <c r="K11" s="37">
        <f t="shared" si="2"/>
        <v>8.2577358490566031</v>
      </c>
      <c r="L11" s="35"/>
      <c r="M11" s="38">
        <v>2350</v>
      </c>
      <c r="N11" s="38">
        <v>570.53800000000001</v>
      </c>
      <c r="O11" s="38">
        <v>1850</v>
      </c>
      <c r="P11" s="37">
        <f t="shared" si="3"/>
        <v>22.197802197802197</v>
      </c>
      <c r="Q11" s="37">
        <f t="shared" si="4"/>
        <v>1.3744790419161679</v>
      </c>
      <c r="R11" s="37">
        <f t="shared" si="5"/>
        <v>0.78341463414634149</v>
      </c>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1:45" x14ac:dyDescent="0.3">
      <c r="B12" s="41">
        <v>42186</v>
      </c>
      <c r="C12" s="34">
        <f t="shared" si="6"/>
        <v>17.254071142493803</v>
      </c>
      <c r="D12" s="34">
        <f t="shared" si="7"/>
        <v>23.002257525955859</v>
      </c>
      <c r="E12" s="35"/>
      <c r="F12" s="36">
        <v>2050</v>
      </c>
      <c r="G12" s="36">
        <v>1225</v>
      </c>
      <c r="H12" s="36">
        <v>382</v>
      </c>
      <c r="I12" s="34">
        <f t="shared" si="0"/>
        <v>9.075376884422111</v>
      </c>
      <c r="J12" s="34">
        <f t="shared" si="1"/>
        <v>0.37180746561886052</v>
      </c>
      <c r="K12" s="34">
        <f t="shared" si="2"/>
        <v>7.80688679245283</v>
      </c>
      <c r="L12" s="35"/>
      <c r="M12" s="36">
        <v>2275</v>
      </c>
      <c r="N12" s="36">
        <v>490.29750000000001</v>
      </c>
      <c r="O12" s="36">
        <v>1750</v>
      </c>
      <c r="P12" s="34">
        <f t="shared" si="3"/>
        <v>21.373626373626372</v>
      </c>
      <c r="Q12" s="34">
        <f t="shared" si="4"/>
        <v>0.89399700598802401</v>
      </c>
      <c r="R12" s="34">
        <f t="shared" si="5"/>
        <v>0.7346341463414634</v>
      </c>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1:45" x14ac:dyDescent="0.3">
      <c r="B13" s="42">
        <v>42217</v>
      </c>
      <c r="C13" s="37">
        <f t="shared" si="6"/>
        <v>16.013668869796586</v>
      </c>
      <c r="D13" s="37">
        <f t="shared" si="7"/>
        <v>20.491496572494249</v>
      </c>
      <c r="E13" s="35"/>
      <c r="F13" s="38">
        <v>1900</v>
      </c>
      <c r="G13" s="38">
        <v>1175</v>
      </c>
      <c r="H13" s="38">
        <v>370</v>
      </c>
      <c r="I13" s="37">
        <f t="shared" si="0"/>
        <v>8.3216080402010046</v>
      </c>
      <c r="J13" s="37">
        <f t="shared" si="1"/>
        <v>0.34724950884086442</v>
      </c>
      <c r="K13" s="37">
        <f t="shared" si="2"/>
        <v>7.344811320754717</v>
      </c>
      <c r="L13" s="35"/>
      <c r="M13" s="38">
        <v>2075</v>
      </c>
      <c r="N13" s="38">
        <v>450.25290000000001</v>
      </c>
      <c r="O13" s="38">
        <v>1600</v>
      </c>
      <c r="P13" s="37">
        <f t="shared" si="3"/>
        <v>19.175824175824175</v>
      </c>
      <c r="Q13" s="37">
        <f t="shared" si="4"/>
        <v>0.65420898203592814</v>
      </c>
      <c r="R13" s="37">
        <f t="shared" si="5"/>
        <v>0.66146341463414637</v>
      </c>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1:45" x14ac:dyDescent="0.3">
      <c r="B14" s="41">
        <v>42248</v>
      </c>
      <c r="C14" s="34">
        <f t="shared" si="6"/>
        <v>17.508614271826197</v>
      </c>
      <c r="D14" s="34">
        <f t="shared" si="7"/>
        <v>20.658754729351266</v>
      </c>
      <c r="E14" s="35"/>
      <c r="F14" s="36">
        <v>2050</v>
      </c>
      <c r="G14" s="36">
        <v>1250</v>
      </c>
      <c r="H14" s="36">
        <v>374</v>
      </c>
      <c r="I14" s="34">
        <f t="shared" si="0"/>
        <v>9.075376884422111</v>
      </c>
      <c r="J14" s="34">
        <f t="shared" si="1"/>
        <v>0.38408644400785852</v>
      </c>
      <c r="K14" s="34">
        <f t="shared" si="2"/>
        <v>8.0491509433962261</v>
      </c>
      <c r="L14" s="35"/>
      <c r="M14" s="36">
        <v>2075</v>
      </c>
      <c r="N14" s="36">
        <v>465.96550000000002</v>
      </c>
      <c r="O14" s="36">
        <v>1750</v>
      </c>
      <c r="P14" s="34">
        <f t="shared" si="3"/>
        <v>19.175824175824175</v>
      </c>
      <c r="Q14" s="34">
        <f t="shared" si="4"/>
        <v>0.74829640718562895</v>
      </c>
      <c r="R14" s="34">
        <f t="shared" si="5"/>
        <v>0.7346341463414634</v>
      </c>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1:45" x14ac:dyDescent="0.3">
      <c r="B15" s="42">
        <v>42278</v>
      </c>
      <c r="C15" s="37">
        <f t="shared" si="6"/>
        <v>18.511392338588074</v>
      </c>
      <c r="D15" s="37">
        <f t="shared" si="7"/>
        <v>21.055161689486212</v>
      </c>
      <c r="E15" s="35"/>
      <c r="F15" s="38">
        <v>2150</v>
      </c>
      <c r="G15" s="38">
        <v>1300</v>
      </c>
      <c r="H15" s="38">
        <v>369</v>
      </c>
      <c r="I15" s="37">
        <f t="shared" si="0"/>
        <v>9.5778894472361813</v>
      </c>
      <c r="J15" s="37">
        <f t="shared" si="1"/>
        <v>0.40864440078585462</v>
      </c>
      <c r="K15" s="37">
        <f t="shared" si="2"/>
        <v>8.5248584905660376</v>
      </c>
      <c r="L15" s="35"/>
      <c r="M15" s="38">
        <v>2100</v>
      </c>
      <c r="N15" s="38">
        <v>478.14000000000004</v>
      </c>
      <c r="O15" s="38">
        <v>1850</v>
      </c>
      <c r="P15" s="37">
        <f t="shared" si="3"/>
        <v>19.450549450549449</v>
      </c>
      <c r="Q15" s="37">
        <f t="shared" si="4"/>
        <v>0.82119760479041937</v>
      </c>
      <c r="R15" s="37">
        <f t="shared" si="5"/>
        <v>0.78341463414634149</v>
      </c>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5" x14ac:dyDescent="0.3">
      <c r="B16" s="41">
        <v>42309</v>
      </c>
      <c r="C16" s="34">
        <f t="shared" si="6"/>
        <v>16.766715127980788</v>
      </c>
      <c r="D16" s="34">
        <f t="shared" si="7"/>
        <v>19.399300512296232</v>
      </c>
      <c r="E16" s="35"/>
      <c r="F16" s="36">
        <v>2000</v>
      </c>
      <c r="G16" s="36">
        <v>1200</v>
      </c>
      <c r="H16" s="36">
        <v>367</v>
      </c>
      <c r="I16" s="34">
        <f t="shared" si="0"/>
        <v>8.8241206030150749</v>
      </c>
      <c r="J16" s="34">
        <f t="shared" si="1"/>
        <v>0.35952848722986247</v>
      </c>
      <c r="K16" s="34">
        <f t="shared" si="2"/>
        <v>7.5830660377358488</v>
      </c>
      <c r="L16" s="35"/>
      <c r="M16" s="36">
        <v>1975</v>
      </c>
      <c r="N16" s="36">
        <v>443.22629999999998</v>
      </c>
      <c r="O16" s="36">
        <v>1700</v>
      </c>
      <c r="P16" s="34">
        <f t="shared" si="3"/>
        <v>18.076923076923077</v>
      </c>
      <c r="Q16" s="34">
        <f t="shared" si="4"/>
        <v>0.61213353293413153</v>
      </c>
      <c r="R16" s="34">
        <f t="shared" si="5"/>
        <v>0.71024390243902435</v>
      </c>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x14ac:dyDescent="0.3">
      <c r="B17" s="42">
        <v>42339</v>
      </c>
      <c r="C17" s="37">
        <f t="shared" si="6"/>
        <v>16.505756904308768</v>
      </c>
      <c r="D17" s="37">
        <f t="shared" si="7"/>
        <v>19.290729853613598</v>
      </c>
      <c r="E17" s="35"/>
      <c r="F17" s="38">
        <v>2000</v>
      </c>
      <c r="G17" s="38">
        <v>1175</v>
      </c>
      <c r="H17" s="38">
        <v>383</v>
      </c>
      <c r="I17" s="37">
        <f t="shared" si="0"/>
        <v>8.8241206030150749</v>
      </c>
      <c r="J17" s="37">
        <f t="shared" si="1"/>
        <v>0.34724950884086442</v>
      </c>
      <c r="K17" s="37">
        <f t="shared" si="2"/>
        <v>7.3343867924528299</v>
      </c>
      <c r="L17" s="35"/>
      <c r="M17" s="38">
        <v>1975</v>
      </c>
      <c r="N17" s="38">
        <v>425.09500000000003</v>
      </c>
      <c r="O17" s="38">
        <v>1700</v>
      </c>
      <c r="P17" s="37">
        <f t="shared" si="3"/>
        <v>18.076923076923077</v>
      </c>
      <c r="Q17" s="37">
        <f t="shared" si="4"/>
        <v>0.50356287425149726</v>
      </c>
      <c r="R17" s="37">
        <f t="shared" si="5"/>
        <v>0.71024390243902435</v>
      </c>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x14ac:dyDescent="0.3">
      <c r="B18" s="41">
        <v>42370</v>
      </c>
      <c r="C18" s="34">
        <f t="shared" si="6"/>
        <v>16.600913346899077</v>
      </c>
      <c r="D18" s="34">
        <f t="shared" si="7"/>
        <v>18.04199920074084</v>
      </c>
      <c r="E18" s="35"/>
      <c r="F18" s="36">
        <v>2025</v>
      </c>
      <c r="G18" s="36">
        <v>1175</v>
      </c>
      <c r="H18" s="36">
        <v>421</v>
      </c>
      <c r="I18" s="34">
        <f t="shared" si="0"/>
        <v>8.9497487437185921</v>
      </c>
      <c r="J18" s="34">
        <f t="shared" si="1"/>
        <v>0.34724950884086442</v>
      </c>
      <c r="K18" s="34">
        <f t="shared" si="2"/>
        <v>7.3039150943396223</v>
      </c>
      <c r="L18" s="35"/>
      <c r="M18" s="36">
        <v>1850</v>
      </c>
      <c r="N18" s="36">
        <v>443.916</v>
      </c>
      <c r="O18" s="36">
        <v>1725</v>
      </c>
      <c r="P18" s="34">
        <f t="shared" si="3"/>
        <v>16.703296703296704</v>
      </c>
      <c r="Q18" s="34">
        <f t="shared" si="4"/>
        <v>0.61626347305389229</v>
      </c>
      <c r="R18" s="34">
        <f t="shared" si="5"/>
        <v>0.72243902439024388</v>
      </c>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2:44" x14ac:dyDescent="0.3">
      <c r="B19" s="42">
        <v>42401</v>
      </c>
      <c r="C19" s="37">
        <f t="shared" si="6"/>
        <v>16.455317337139789</v>
      </c>
      <c r="D19" s="37">
        <f t="shared" si="7"/>
        <v>17.725121494293642</v>
      </c>
      <c r="E19" s="35"/>
      <c r="F19" s="38">
        <v>1950</v>
      </c>
      <c r="G19" s="38">
        <v>1200</v>
      </c>
      <c r="H19" s="38">
        <v>442</v>
      </c>
      <c r="I19" s="37">
        <f t="shared" si="0"/>
        <v>8.5728643216080407</v>
      </c>
      <c r="J19" s="37">
        <f t="shared" si="1"/>
        <v>0.35952848722986247</v>
      </c>
      <c r="K19" s="37">
        <f t="shared" si="2"/>
        <v>7.5229245283018864</v>
      </c>
      <c r="L19" s="35"/>
      <c r="M19" s="38">
        <v>1825</v>
      </c>
      <c r="N19" s="38">
        <v>442.98630000000003</v>
      </c>
      <c r="O19" s="38">
        <v>1650</v>
      </c>
      <c r="P19" s="37">
        <f t="shared" si="3"/>
        <v>16.428571428571427</v>
      </c>
      <c r="Q19" s="37">
        <f t="shared" si="4"/>
        <v>0.6106964071856289</v>
      </c>
      <c r="R19" s="37">
        <f t="shared" si="5"/>
        <v>0.68585365853658542</v>
      </c>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row>
    <row r="20" spans="2:44" x14ac:dyDescent="0.3">
      <c r="B20" s="41">
        <v>42430</v>
      </c>
      <c r="C20" s="34">
        <f t="shared" si="6"/>
        <v>15.935965151684211</v>
      </c>
      <c r="D20" s="34">
        <f t="shared" si="7"/>
        <v>16.502734518366111</v>
      </c>
      <c r="E20" s="35"/>
      <c r="F20" s="36">
        <v>1850</v>
      </c>
      <c r="G20" s="36">
        <v>1200</v>
      </c>
      <c r="H20" s="36">
        <v>463</v>
      </c>
      <c r="I20" s="34">
        <f t="shared" si="0"/>
        <v>8.0703517587939704</v>
      </c>
      <c r="J20" s="34">
        <f t="shared" si="1"/>
        <v>0.35952848722986247</v>
      </c>
      <c r="K20" s="34">
        <f t="shared" si="2"/>
        <v>7.5060849056603773</v>
      </c>
      <c r="L20" s="35"/>
      <c r="M20" s="36">
        <v>1725</v>
      </c>
      <c r="N20" s="36">
        <v>430.51049999999998</v>
      </c>
      <c r="O20" s="36">
        <v>1550</v>
      </c>
      <c r="P20" s="34">
        <f t="shared" si="3"/>
        <v>15.32967032967033</v>
      </c>
      <c r="Q20" s="34">
        <f t="shared" si="4"/>
        <v>0.53599101796407167</v>
      </c>
      <c r="R20" s="34">
        <f t="shared" si="5"/>
        <v>0.63707317073170733</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2:44" x14ac:dyDescent="0.3">
      <c r="B21" s="42">
        <v>42461</v>
      </c>
      <c r="C21" s="37">
        <f t="shared" si="6"/>
        <v>15.920729302627606</v>
      </c>
      <c r="D21" s="37">
        <f t="shared" si="7"/>
        <v>15.979168843167058</v>
      </c>
      <c r="E21" s="35"/>
      <c r="F21" s="38">
        <v>1850</v>
      </c>
      <c r="G21" s="38">
        <v>1200</v>
      </c>
      <c r="H21" s="38">
        <v>482</v>
      </c>
      <c r="I21" s="37">
        <f t="shared" si="0"/>
        <v>8.0703517587939704</v>
      </c>
      <c r="J21" s="37">
        <f t="shared" si="1"/>
        <v>0.35952848722986247</v>
      </c>
      <c r="K21" s="37">
        <f t="shared" si="2"/>
        <v>7.490849056603774</v>
      </c>
      <c r="L21" s="35"/>
      <c r="M21" s="38">
        <v>1675</v>
      </c>
      <c r="N21" s="38">
        <v>434.83327400000002</v>
      </c>
      <c r="O21" s="38">
        <v>1550</v>
      </c>
      <c r="P21" s="37">
        <f t="shared" si="3"/>
        <v>14.780219780219781</v>
      </c>
      <c r="Q21" s="37">
        <f t="shared" si="4"/>
        <v>0.56187589221556899</v>
      </c>
      <c r="R21" s="37">
        <f t="shared" si="5"/>
        <v>0.63707317073170733</v>
      </c>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2:44" x14ac:dyDescent="0.3">
      <c r="B22" s="41">
        <v>42491</v>
      </c>
      <c r="C22" s="34">
        <f t="shared" si="6"/>
        <v>17.285155942443431</v>
      </c>
      <c r="D22" s="34">
        <f t="shared" si="7"/>
        <v>16.847587257528364</v>
      </c>
      <c r="E22" s="35"/>
      <c r="F22" s="36">
        <v>2025</v>
      </c>
      <c r="G22" s="36">
        <v>1250</v>
      </c>
      <c r="H22" s="36">
        <v>496</v>
      </c>
      <c r="I22" s="34">
        <f t="shared" si="0"/>
        <v>8.9497487437185921</v>
      </c>
      <c r="J22" s="34">
        <f t="shared" si="1"/>
        <v>0.38408644400785852</v>
      </c>
      <c r="K22" s="34">
        <f t="shared" si="2"/>
        <v>7.9513207547169813</v>
      </c>
      <c r="L22" s="35"/>
      <c r="M22" s="36">
        <v>1750</v>
      </c>
      <c r="N22" s="36">
        <v>427.96568900000005</v>
      </c>
      <c r="O22" s="36">
        <v>1725</v>
      </c>
      <c r="P22" s="34">
        <f t="shared" si="3"/>
        <v>15.604395604395604</v>
      </c>
      <c r="Q22" s="34">
        <f t="shared" si="4"/>
        <v>0.52075262874251527</v>
      </c>
      <c r="R22" s="34">
        <f t="shared" si="5"/>
        <v>0.72243902439024388</v>
      </c>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2:44" x14ac:dyDescent="0.3">
      <c r="B23" s="42">
        <v>42522</v>
      </c>
      <c r="C23" s="37">
        <f t="shared" si="6"/>
        <v>19.398540105725651</v>
      </c>
      <c r="D23" s="37">
        <f t="shared" si="7"/>
        <v>19.997987685955348</v>
      </c>
      <c r="E23" s="35"/>
      <c r="F23" s="38">
        <v>2350</v>
      </c>
      <c r="G23" s="38">
        <v>1300</v>
      </c>
      <c r="H23" s="38">
        <v>516</v>
      </c>
      <c r="I23" s="37">
        <f t="shared" si="0"/>
        <v>10.582914572864322</v>
      </c>
      <c r="J23" s="37">
        <f t="shared" si="1"/>
        <v>0.40864440078585462</v>
      </c>
      <c r="K23" s="37">
        <f t="shared" si="2"/>
        <v>8.4069811320754724</v>
      </c>
      <c r="L23" s="35"/>
      <c r="M23" s="38">
        <v>2000</v>
      </c>
      <c r="N23" s="38">
        <v>468.815742</v>
      </c>
      <c r="O23" s="38">
        <v>2050</v>
      </c>
      <c r="P23" s="37">
        <f t="shared" si="3"/>
        <v>18.35164835164835</v>
      </c>
      <c r="Q23" s="37">
        <f t="shared" si="4"/>
        <v>0.76536372455089818</v>
      </c>
      <c r="R23" s="37">
        <f t="shared" si="5"/>
        <v>0.88097560975609757</v>
      </c>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44" x14ac:dyDescent="0.3">
      <c r="B24" s="41">
        <v>42552</v>
      </c>
      <c r="C24" s="34">
        <f t="shared" si="6"/>
        <v>23.843202671436288</v>
      </c>
      <c r="D24" s="34">
        <f t="shared" si="7"/>
        <v>24.00736802048543</v>
      </c>
      <c r="E24" s="35"/>
      <c r="F24" s="36">
        <v>2850</v>
      </c>
      <c r="G24" s="36">
        <v>1500</v>
      </c>
      <c r="H24" s="36">
        <v>582</v>
      </c>
      <c r="I24" s="34">
        <f t="shared" si="0"/>
        <v>13.095477386934673</v>
      </c>
      <c r="J24" s="34">
        <f t="shared" si="1"/>
        <v>0.50687622789783893</v>
      </c>
      <c r="K24" s="34">
        <f t="shared" si="2"/>
        <v>10.240849056603773</v>
      </c>
      <c r="L24" s="35"/>
      <c r="M24" s="36">
        <v>2300</v>
      </c>
      <c r="N24" s="36">
        <v>547.10110000000009</v>
      </c>
      <c r="O24" s="36">
        <v>2550</v>
      </c>
      <c r="P24" s="34">
        <f t="shared" si="3"/>
        <v>21.64835164835165</v>
      </c>
      <c r="Q24" s="34">
        <f t="shared" si="4"/>
        <v>1.2341383233532939</v>
      </c>
      <c r="R24" s="34">
        <f t="shared" si="5"/>
        <v>1.1248780487804879</v>
      </c>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44" x14ac:dyDescent="0.3">
      <c r="B25" s="42">
        <v>42583</v>
      </c>
      <c r="C25" s="37">
        <f t="shared" si="6"/>
        <v>26.521549156521381</v>
      </c>
      <c r="D25" s="37">
        <f t="shared" si="7"/>
        <v>28.584441823846809</v>
      </c>
      <c r="E25" s="35"/>
      <c r="F25" s="38">
        <v>3250</v>
      </c>
      <c r="G25" s="38">
        <v>1570</v>
      </c>
      <c r="H25" s="38">
        <v>615</v>
      </c>
      <c r="I25" s="37">
        <f t="shared" si="0"/>
        <v>15.105527638190955</v>
      </c>
      <c r="J25" s="37">
        <f t="shared" si="1"/>
        <v>0.54125736738703345</v>
      </c>
      <c r="K25" s="37">
        <f t="shared" si="2"/>
        <v>10.874764150943395</v>
      </c>
      <c r="L25" s="35"/>
      <c r="M25" s="38">
        <v>2650</v>
      </c>
      <c r="N25" s="38">
        <v>636.57936700000005</v>
      </c>
      <c r="O25" s="38">
        <v>2950</v>
      </c>
      <c r="P25" s="37">
        <f t="shared" si="3"/>
        <v>25.494505494505493</v>
      </c>
      <c r="Q25" s="37">
        <f t="shared" si="4"/>
        <v>1.7699363293413177</v>
      </c>
      <c r="R25" s="37">
        <f t="shared" si="5"/>
        <v>1.32</v>
      </c>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44" x14ac:dyDescent="0.3">
      <c r="B26" s="41">
        <v>42614</v>
      </c>
      <c r="C26" s="34">
        <f t="shared" si="6"/>
        <v>28.987919739651666</v>
      </c>
      <c r="D26" s="34">
        <f t="shared" si="7"/>
        <v>33.062379104199003</v>
      </c>
      <c r="E26" s="35"/>
      <c r="F26" s="36">
        <v>3550</v>
      </c>
      <c r="G26" s="36">
        <v>1670</v>
      </c>
      <c r="H26" s="36">
        <v>657</v>
      </c>
      <c r="I26" s="34">
        <f t="shared" si="0"/>
        <v>16.613065326633166</v>
      </c>
      <c r="J26" s="34">
        <f t="shared" si="1"/>
        <v>0.59037328094302555</v>
      </c>
      <c r="K26" s="34">
        <f t="shared" si="2"/>
        <v>11.784481132075472</v>
      </c>
      <c r="L26" s="35"/>
      <c r="M26" s="36">
        <v>2975</v>
      </c>
      <c r="N26" s="36">
        <v>763.52729699999998</v>
      </c>
      <c r="O26" s="36">
        <v>3250</v>
      </c>
      <c r="P26" s="34">
        <f t="shared" si="3"/>
        <v>29.065934065934066</v>
      </c>
      <c r="Q26" s="34">
        <f t="shared" si="4"/>
        <v>2.5301035748502994</v>
      </c>
      <c r="R26" s="34">
        <f t="shared" si="5"/>
        <v>1.4663414634146341</v>
      </c>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2:44" x14ac:dyDescent="0.3">
      <c r="B27" s="42">
        <v>42644</v>
      </c>
      <c r="C27" s="37">
        <f t="shared" si="6"/>
        <v>31.815368874621093</v>
      </c>
      <c r="D27" s="37">
        <f t="shared" si="7"/>
        <v>34.644322249513301</v>
      </c>
      <c r="E27" s="35"/>
      <c r="F27" s="38">
        <v>3750</v>
      </c>
      <c r="G27" s="38">
        <v>1860</v>
      </c>
      <c r="H27" s="38">
        <v>736</v>
      </c>
      <c r="I27" s="37">
        <f t="shared" si="0"/>
        <v>17.618090452261306</v>
      </c>
      <c r="J27" s="37">
        <f t="shared" si="1"/>
        <v>0.68369351669941059</v>
      </c>
      <c r="K27" s="37">
        <f t="shared" si="2"/>
        <v>13.513584905660377</v>
      </c>
      <c r="L27" s="35"/>
      <c r="M27" s="38">
        <v>3070</v>
      </c>
      <c r="N27" s="38">
        <v>837.07845999999995</v>
      </c>
      <c r="O27" s="38">
        <v>3450</v>
      </c>
      <c r="P27" s="37">
        <f t="shared" si="3"/>
        <v>30.109890109890109</v>
      </c>
      <c r="Q27" s="37">
        <f t="shared" si="4"/>
        <v>2.9705297005988021</v>
      </c>
      <c r="R27" s="37">
        <f t="shared" si="5"/>
        <v>1.5639024390243903</v>
      </c>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44" x14ac:dyDescent="0.3">
      <c r="B28" s="41">
        <v>42675</v>
      </c>
      <c r="C28" s="34">
        <f t="shared" si="6"/>
        <v>31.958553187314038</v>
      </c>
      <c r="D28" s="34">
        <f t="shared" si="7"/>
        <v>34.377706914683095</v>
      </c>
      <c r="E28" s="35"/>
      <c r="F28" s="36">
        <v>3800</v>
      </c>
      <c r="G28" s="36">
        <v>1850</v>
      </c>
      <c r="H28" s="36">
        <v>747</v>
      </c>
      <c r="I28" s="34">
        <f t="shared" si="0"/>
        <v>17.86934673366834</v>
      </c>
      <c r="J28" s="34">
        <f t="shared" si="1"/>
        <v>0.67878192534381143</v>
      </c>
      <c r="K28" s="34">
        <f t="shared" si="2"/>
        <v>13.410424528301887</v>
      </c>
      <c r="L28" s="35"/>
      <c r="M28" s="36">
        <v>3080</v>
      </c>
      <c r="N28" s="36">
        <v>770.12887999999998</v>
      </c>
      <c r="O28" s="36">
        <v>3500</v>
      </c>
      <c r="P28" s="34">
        <f t="shared" si="3"/>
        <v>30.219780219780219</v>
      </c>
      <c r="Q28" s="34">
        <f t="shared" si="4"/>
        <v>2.5696340119760479</v>
      </c>
      <c r="R28" s="34">
        <f t="shared" si="5"/>
        <v>1.5882926829268293</v>
      </c>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44" x14ac:dyDescent="0.3">
      <c r="B29" s="42">
        <v>42705</v>
      </c>
      <c r="C29" s="37">
        <f t="shared" si="6"/>
        <v>31.445616096198087</v>
      </c>
      <c r="D29" s="37">
        <f t="shared" si="7"/>
        <v>34.227069025680613</v>
      </c>
      <c r="E29" s="35"/>
      <c r="F29" s="38">
        <v>3700</v>
      </c>
      <c r="G29" s="38">
        <v>1850</v>
      </c>
      <c r="H29" s="38">
        <v>760</v>
      </c>
      <c r="I29" s="37">
        <f t="shared" si="0"/>
        <v>17.366834170854272</v>
      </c>
      <c r="J29" s="37">
        <f t="shared" si="1"/>
        <v>0.67878192534381143</v>
      </c>
      <c r="K29" s="37">
        <f t="shared" si="2"/>
        <v>13.4</v>
      </c>
      <c r="L29" s="35"/>
      <c r="M29" s="38">
        <v>3080</v>
      </c>
      <c r="N29" s="38">
        <v>753.118694</v>
      </c>
      <c r="O29" s="38">
        <v>3400</v>
      </c>
      <c r="P29" s="37">
        <f t="shared" si="3"/>
        <v>30.219780219780219</v>
      </c>
      <c r="Q29" s="37">
        <f t="shared" si="4"/>
        <v>2.4677766107784431</v>
      </c>
      <c r="R29" s="37">
        <f t="shared" si="5"/>
        <v>1.5395121951219513</v>
      </c>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44" x14ac:dyDescent="0.3">
      <c r="B30" s="41">
        <v>42736</v>
      </c>
      <c r="C30" s="34">
        <f t="shared" si="6"/>
        <v>30.923056363572691</v>
      </c>
      <c r="D30" s="34">
        <f t="shared" si="7"/>
        <v>34.402440783384719</v>
      </c>
      <c r="E30" s="35"/>
      <c r="F30" s="36">
        <v>3600</v>
      </c>
      <c r="G30" s="36">
        <v>1850</v>
      </c>
      <c r="H30" s="36">
        <v>785</v>
      </c>
      <c r="I30" s="34">
        <f t="shared" si="0"/>
        <v>16.8643216080402</v>
      </c>
      <c r="J30" s="34">
        <f t="shared" si="1"/>
        <v>0.67878192534381143</v>
      </c>
      <c r="K30" s="34">
        <f t="shared" si="2"/>
        <v>13.37995283018868</v>
      </c>
      <c r="L30" s="35"/>
      <c r="M30" s="36">
        <v>3080</v>
      </c>
      <c r="N30" s="36">
        <v>790.55211899999995</v>
      </c>
      <c r="O30" s="36">
        <v>3300</v>
      </c>
      <c r="P30" s="34">
        <f t="shared" si="3"/>
        <v>30.219780219780219</v>
      </c>
      <c r="Q30" s="34">
        <f t="shared" si="4"/>
        <v>2.6919288562874248</v>
      </c>
      <c r="R30" s="34">
        <f t="shared" si="5"/>
        <v>1.4907317073170732</v>
      </c>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44" x14ac:dyDescent="0.3">
      <c r="B31" s="42">
        <v>42767</v>
      </c>
      <c r="C31" s="37">
        <f t="shared" si="6"/>
        <v>28.682924969772316</v>
      </c>
      <c r="D31" s="37">
        <f t="shared" si="7"/>
        <v>32.932254455441303</v>
      </c>
      <c r="E31" s="35"/>
      <c r="F31" s="38">
        <v>3450</v>
      </c>
      <c r="G31" s="38">
        <v>1700</v>
      </c>
      <c r="H31" s="38">
        <v>782</v>
      </c>
      <c r="I31" s="37">
        <f t="shared" si="0"/>
        <v>16.110552763819097</v>
      </c>
      <c r="J31" s="37">
        <f t="shared" si="1"/>
        <v>0.60510805500982323</v>
      </c>
      <c r="K31" s="37">
        <f t="shared" si="2"/>
        <v>11.967264150943397</v>
      </c>
      <c r="L31" s="35"/>
      <c r="M31" s="38">
        <v>2950</v>
      </c>
      <c r="N31" s="38">
        <v>795.82194300000003</v>
      </c>
      <c r="O31" s="38">
        <v>3150</v>
      </c>
      <c r="P31" s="37">
        <f t="shared" si="3"/>
        <v>28.791208791208792</v>
      </c>
      <c r="Q31" s="37">
        <f t="shared" si="4"/>
        <v>2.7234846886227548</v>
      </c>
      <c r="R31" s="37">
        <f t="shared" si="5"/>
        <v>1.417560975609756</v>
      </c>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4" x14ac:dyDescent="0.3">
      <c r="B32" s="41">
        <v>42795</v>
      </c>
      <c r="C32" s="34">
        <f t="shared" si="6"/>
        <v>28.181540376009867</v>
      </c>
      <c r="D32" s="34">
        <f t="shared" si="7"/>
        <v>32.738610091181343</v>
      </c>
      <c r="E32" s="35"/>
      <c r="F32" s="36">
        <v>3650</v>
      </c>
      <c r="G32" s="36">
        <v>1550</v>
      </c>
      <c r="H32" s="36">
        <v>804</v>
      </c>
      <c r="I32" s="34">
        <f t="shared" si="0"/>
        <v>17.115577889447238</v>
      </c>
      <c r="J32" s="34">
        <f t="shared" si="1"/>
        <v>0.53143418467583492</v>
      </c>
      <c r="K32" s="34">
        <f t="shared" si="2"/>
        <v>10.534528301886795</v>
      </c>
      <c r="L32" s="35"/>
      <c r="M32" s="36">
        <v>2900</v>
      </c>
      <c r="N32" s="36">
        <v>838.948893</v>
      </c>
      <c r="O32" s="36">
        <v>3350</v>
      </c>
      <c r="P32" s="34">
        <f t="shared" si="3"/>
        <v>28.241758241758241</v>
      </c>
      <c r="Q32" s="34">
        <f t="shared" si="4"/>
        <v>2.9817298982035929</v>
      </c>
      <c r="R32" s="34">
        <f t="shared" si="5"/>
        <v>1.5151219512195122</v>
      </c>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x14ac:dyDescent="0.3">
      <c r="B33" s="42">
        <v>42826</v>
      </c>
      <c r="C33" s="37">
        <f t="shared" si="6"/>
        <v>28.046932879078266</v>
      </c>
      <c r="D33" s="37">
        <f t="shared" si="7"/>
        <v>32.438223176321706</v>
      </c>
      <c r="E33" s="35"/>
      <c r="F33" s="38">
        <v>3725</v>
      </c>
      <c r="G33" s="38">
        <v>1500</v>
      </c>
      <c r="H33" s="38">
        <v>823</v>
      </c>
      <c r="I33" s="37">
        <f t="shared" si="0"/>
        <v>17.492462311557787</v>
      </c>
      <c r="J33" s="37">
        <f t="shared" si="1"/>
        <v>0.50687622789783893</v>
      </c>
      <c r="K33" s="37">
        <f t="shared" si="2"/>
        <v>10.047594339622641</v>
      </c>
      <c r="L33" s="35"/>
      <c r="M33" s="38">
        <v>2875</v>
      </c>
      <c r="N33" s="38">
        <v>828.55364299999997</v>
      </c>
      <c r="O33" s="38">
        <v>3425</v>
      </c>
      <c r="P33" s="37">
        <f t="shared" si="3"/>
        <v>27.967032967032967</v>
      </c>
      <c r="Q33" s="37">
        <f t="shared" si="4"/>
        <v>2.9194828922155684</v>
      </c>
      <c r="R33" s="37">
        <f t="shared" si="5"/>
        <v>1.5517073170731708</v>
      </c>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x14ac:dyDescent="0.3">
      <c r="B34" s="41">
        <v>42856</v>
      </c>
      <c r="C34" s="34">
        <f t="shared" si="6"/>
        <v>31.435843732414529</v>
      </c>
      <c r="D34" s="34">
        <f t="shared" si="7"/>
        <v>33.989657822615825</v>
      </c>
      <c r="E34" s="35"/>
      <c r="F34" s="36">
        <v>4300</v>
      </c>
      <c r="G34" s="36">
        <v>1550</v>
      </c>
      <c r="H34" s="36">
        <v>819</v>
      </c>
      <c r="I34" s="34">
        <f t="shared" si="0"/>
        <v>20.381909547738694</v>
      </c>
      <c r="J34" s="34">
        <f t="shared" si="1"/>
        <v>0.53143418467583492</v>
      </c>
      <c r="K34" s="34">
        <f t="shared" si="2"/>
        <v>10.522500000000001</v>
      </c>
      <c r="L34" s="35"/>
      <c r="M34" s="36">
        <v>2975</v>
      </c>
      <c r="N34" s="36">
        <v>857.28528200000005</v>
      </c>
      <c r="O34" s="36">
        <v>4000</v>
      </c>
      <c r="P34" s="34">
        <f t="shared" si="3"/>
        <v>29.065934065934066</v>
      </c>
      <c r="Q34" s="34">
        <f t="shared" si="4"/>
        <v>3.0915286347305395</v>
      </c>
      <c r="R34" s="34">
        <f t="shared" si="5"/>
        <v>1.8321951219512196</v>
      </c>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x14ac:dyDescent="0.3">
      <c r="B35" s="42">
        <v>42887</v>
      </c>
      <c r="C35" s="37">
        <f t="shared" si="6"/>
        <v>36.951127539223343</v>
      </c>
      <c r="D35" s="37">
        <f t="shared" si="7"/>
        <v>37.702767519487963</v>
      </c>
      <c r="E35" s="35"/>
      <c r="F35" s="38">
        <v>5100</v>
      </c>
      <c r="G35" s="38">
        <v>1700</v>
      </c>
      <c r="H35" s="38">
        <v>811</v>
      </c>
      <c r="I35" s="37">
        <f t="shared" si="0"/>
        <v>24.402010050251256</v>
      </c>
      <c r="J35" s="37">
        <f t="shared" si="1"/>
        <v>0.60510805500982323</v>
      </c>
      <c r="K35" s="37">
        <f t="shared" si="2"/>
        <v>11.944009433962265</v>
      </c>
      <c r="L35" s="35"/>
      <c r="M35" s="38">
        <v>3250</v>
      </c>
      <c r="N35" s="38">
        <v>907.5335399999999</v>
      </c>
      <c r="O35" s="38">
        <v>4800</v>
      </c>
      <c r="P35" s="37">
        <f t="shared" si="3"/>
        <v>32.087912087912088</v>
      </c>
      <c r="Q35" s="37">
        <f t="shared" si="4"/>
        <v>3.3924164071856282</v>
      </c>
      <c r="R35" s="37">
        <f t="shared" si="5"/>
        <v>2.2224390243902441</v>
      </c>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x14ac:dyDescent="0.3">
      <c r="B36" s="41">
        <v>42917</v>
      </c>
      <c r="C36" s="34">
        <f t="shared" si="6"/>
        <v>37.30979818468105</v>
      </c>
      <c r="D36" s="34">
        <f t="shared" si="7"/>
        <v>37.937754582009923</v>
      </c>
      <c r="E36" s="35"/>
      <c r="F36" s="36">
        <v>5420</v>
      </c>
      <c r="G36" s="36">
        <v>1570</v>
      </c>
      <c r="H36" s="36">
        <v>760</v>
      </c>
      <c r="I36" s="34">
        <f t="shared" si="0"/>
        <v>26.010050251256281</v>
      </c>
      <c r="J36" s="34">
        <f t="shared" si="1"/>
        <v>0.54125736738703345</v>
      </c>
      <c r="K36" s="34">
        <f t="shared" si="2"/>
        <v>10.758490566037738</v>
      </c>
      <c r="L36" s="35"/>
      <c r="M36" s="36">
        <v>3300</v>
      </c>
      <c r="N36" s="36">
        <v>828.9498450000001</v>
      </c>
      <c r="O36" s="36">
        <v>5120</v>
      </c>
      <c r="P36" s="34">
        <f t="shared" si="3"/>
        <v>32.637362637362635</v>
      </c>
      <c r="Q36" s="34">
        <f t="shared" si="4"/>
        <v>2.9218553592814374</v>
      </c>
      <c r="R36" s="34">
        <f t="shared" si="5"/>
        <v>2.3785365853658536</v>
      </c>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x14ac:dyDescent="0.3">
      <c r="B37" s="42">
        <v>42948</v>
      </c>
      <c r="C37" s="37">
        <f t="shared" si="6"/>
        <v>40.818128031267278</v>
      </c>
      <c r="D37" s="37">
        <f t="shared" si="7"/>
        <v>39.547236211222696</v>
      </c>
      <c r="E37" s="35"/>
      <c r="F37" s="38">
        <v>6150</v>
      </c>
      <c r="G37" s="38">
        <v>1550</v>
      </c>
      <c r="H37" s="38">
        <v>712</v>
      </c>
      <c r="I37" s="37">
        <f t="shared" si="0"/>
        <v>29.678391959798994</v>
      </c>
      <c r="J37" s="37">
        <f t="shared" si="1"/>
        <v>0.53143418467583492</v>
      </c>
      <c r="K37" s="37">
        <f t="shared" si="2"/>
        <v>10.608301886792454</v>
      </c>
      <c r="L37" s="35"/>
      <c r="M37" s="38">
        <v>3425</v>
      </c>
      <c r="N37" s="38">
        <v>808.86937999999998</v>
      </c>
      <c r="O37" s="38">
        <v>5850</v>
      </c>
      <c r="P37" s="37">
        <f t="shared" si="3"/>
        <v>34.010989010989015</v>
      </c>
      <c r="Q37" s="37">
        <f t="shared" si="4"/>
        <v>2.8016130538922153</v>
      </c>
      <c r="R37" s="37">
        <f t="shared" si="5"/>
        <v>2.7346341463414636</v>
      </c>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x14ac:dyDescent="0.3">
      <c r="B38" s="41">
        <v>42979</v>
      </c>
      <c r="C38" s="34">
        <f t="shared" si="6"/>
        <v>40.64778301514243</v>
      </c>
      <c r="D38" s="34">
        <f t="shared" si="7"/>
        <v>39.331052144630597</v>
      </c>
      <c r="E38" s="35"/>
      <c r="F38" s="36">
        <v>6150</v>
      </c>
      <c r="G38" s="36">
        <v>1525</v>
      </c>
      <c r="H38" s="36">
        <v>615</v>
      </c>
      <c r="I38" s="34">
        <f t="shared" si="0"/>
        <v>29.678391959798994</v>
      </c>
      <c r="J38" s="34">
        <f t="shared" si="1"/>
        <v>0.51915520628683698</v>
      </c>
      <c r="K38" s="34">
        <f t="shared" si="2"/>
        <v>10.450235849056602</v>
      </c>
      <c r="L38" s="35"/>
      <c r="M38" s="36">
        <v>3450</v>
      </c>
      <c r="N38" s="36">
        <v>726.88751999999999</v>
      </c>
      <c r="O38" s="36">
        <v>5850</v>
      </c>
      <c r="P38" s="34">
        <f t="shared" si="3"/>
        <v>34.285714285714285</v>
      </c>
      <c r="Q38" s="34">
        <f t="shared" si="4"/>
        <v>2.3107037125748504</v>
      </c>
      <c r="R38" s="34">
        <f t="shared" si="5"/>
        <v>2.7346341463414636</v>
      </c>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x14ac:dyDescent="0.3">
      <c r="B39" s="42">
        <v>43009</v>
      </c>
      <c r="C39" s="37">
        <f t="shared" si="6"/>
        <v>33.423342918860904</v>
      </c>
      <c r="D39" s="37">
        <f t="shared" si="7"/>
        <v>37.390905629142139</v>
      </c>
      <c r="E39" s="35"/>
      <c r="F39" s="38">
        <v>5050</v>
      </c>
      <c r="G39" s="38">
        <v>1350</v>
      </c>
      <c r="H39" s="38">
        <v>565</v>
      </c>
      <c r="I39" s="37">
        <f t="shared" si="0"/>
        <v>24.150753768844222</v>
      </c>
      <c r="J39" s="37">
        <f t="shared" si="1"/>
        <v>0.43320235756385067</v>
      </c>
      <c r="K39" s="37">
        <f t="shared" si="2"/>
        <v>8.8393867924528298</v>
      </c>
      <c r="L39" s="35"/>
      <c r="M39" s="38">
        <v>3365</v>
      </c>
      <c r="N39" s="38">
        <v>648.48181899999997</v>
      </c>
      <c r="O39" s="38">
        <v>4750</v>
      </c>
      <c r="P39" s="37">
        <f t="shared" si="3"/>
        <v>33.35164835164835</v>
      </c>
      <c r="Q39" s="37">
        <f t="shared" si="4"/>
        <v>1.8412084970059879</v>
      </c>
      <c r="R39" s="37">
        <f t="shared" si="5"/>
        <v>2.1980487804878051</v>
      </c>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2:44" x14ac:dyDescent="0.3">
      <c r="B40" s="41">
        <v>43040</v>
      </c>
      <c r="C40" s="34">
        <f t="shared" si="6"/>
        <v>29.895985809519857</v>
      </c>
      <c r="D40" s="34">
        <f t="shared" si="7"/>
        <v>35.599517422164517</v>
      </c>
      <c r="E40" s="35"/>
      <c r="F40" s="36">
        <v>4500</v>
      </c>
      <c r="G40" s="36">
        <v>1270</v>
      </c>
      <c r="H40" s="36">
        <v>527</v>
      </c>
      <c r="I40" s="34">
        <f t="shared" si="0"/>
        <v>21.386934673366834</v>
      </c>
      <c r="J40" s="34">
        <f t="shared" si="1"/>
        <v>0.39390962671905699</v>
      </c>
      <c r="K40" s="34">
        <f t="shared" si="2"/>
        <v>8.115141509433963</v>
      </c>
      <c r="L40" s="35"/>
      <c r="M40" s="36">
        <v>3265</v>
      </c>
      <c r="N40" s="36">
        <v>577.64134999999999</v>
      </c>
      <c r="O40" s="36">
        <v>4200</v>
      </c>
      <c r="P40" s="34">
        <f t="shared" si="3"/>
        <v>32.252747252747255</v>
      </c>
      <c r="Q40" s="34">
        <f t="shared" si="4"/>
        <v>1.4170140718562874</v>
      </c>
      <c r="R40" s="34">
        <f t="shared" si="5"/>
        <v>1.9297560975609755</v>
      </c>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2:44" x14ac:dyDescent="0.3">
      <c r="B41" s="42">
        <v>43070</v>
      </c>
      <c r="C41" s="37">
        <f t="shared" si="6"/>
        <v>27.01849361115918</v>
      </c>
      <c r="D41" s="37">
        <f t="shared" si="7"/>
        <v>32.529791178836646</v>
      </c>
      <c r="E41" s="35"/>
      <c r="F41" s="38">
        <v>4000</v>
      </c>
      <c r="G41" s="38">
        <v>1230</v>
      </c>
      <c r="H41" s="38">
        <v>487</v>
      </c>
      <c r="I41" s="37">
        <f t="shared" si="0"/>
        <v>18.874371859296481</v>
      </c>
      <c r="J41" s="37">
        <f t="shared" si="1"/>
        <v>0.3742632612966601</v>
      </c>
      <c r="K41" s="37">
        <f t="shared" si="2"/>
        <v>7.7698584905660377</v>
      </c>
      <c r="L41" s="35"/>
      <c r="M41" s="38">
        <v>3000</v>
      </c>
      <c r="N41" s="38">
        <v>592.04745600000001</v>
      </c>
      <c r="O41" s="38">
        <v>3700</v>
      </c>
      <c r="P41" s="37">
        <f t="shared" si="3"/>
        <v>29.340659340659339</v>
      </c>
      <c r="Q41" s="37">
        <f t="shared" si="4"/>
        <v>1.5032781796407186</v>
      </c>
      <c r="R41" s="37">
        <f t="shared" si="5"/>
        <v>1.6858536585365853</v>
      </c>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2:44" x14ac:dyDescent="0.3">
      <c r="B42" s="41">
        <v>43101</v>
      </c>
      <c r="C42" s="34">
        <f t="shared" si="6"/>
        <v>24.632032022253092</v>
      </c>
      <c r="D42" s="34">
        <f t="shared" si="7"/>
        <v>30.718787752187932</v>
      </c>
      <c r="E42" s="35"/>
      <c r="F42" s="36">
        <v>3660</v>
      </c>
      <c r="G42" s="36">
        <v>1160</v>
      </c>
      <c r="H42" s="36">
        <v>466</v>
      </c>
      <c r="I42" s="34">
        <f t="shared" si="0"/>
        <v>17.165829145728644</v>
      </c>
      <c r="J42" s="34">
        <f t="shared" si="1"/>
        <v>0.33988212180746563</v>
      </c>
      <c r="K42" s="34">
        <f t="shared" si="2"/>
        <v>7.1263207547169811</v>
      </c>
      <c r="L42" s="35"/>
      <c r="M42" s="36">
        <v>2850</v>
      </c>
      <c r="N42" s="36">
        <v>592.58217000000002</v>
      </c>
      <c r="O42" s="36">
        <v>3360</v>
      </c>
      <c r="P42" s="34">
        <f t="shared" si="3"/>
        <v>27.692307692307693</v>
      </c>
      <c r="Q42" s="34">
        <f t="shared" si="4"/>
        <v>1.5064800598802395</v>
      </c>
      <c r="R42" s="34">
        <f t="shared" si="5"/>
        <v>1.52</v>
      </c>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2:44" x14ac:dyDescent="0.3">
      <c r="B43" s="42">
        <v>43132</v>
      </c>
      <c r="C43" s="37">
        <f t="shared" si="6"/>
        <v>27.551962555856718</v>
      </c>
      <c r="D43" s="37">
        <f t="shared" si="7"/>
        <v>31.958651512686234</v>
      </c>
      <c r="E43" s="35"/>
      <c r="F43" s="38">
        <v>4300</v>
      </c>
      <c r="G43" s="38">
        <v>1130</v>
      </c>
      <c r="H43" s="38">
        <v>464</v>
      </c>
      <c r="I43" s="37">
        <f t="shared" si="0"/>
        <v>20.381909547738694</v>
      </c>
      <c r="J43" s="37">
        <f t="shared" si="1"/>
        <v>0.325147347740668</v>
      </c>
      <c r="K43" s="37">
        <f t="shared" si="2"/>
        <v>6.8449056603773588</v>
      </c>
      <c r="L43" s="35"/>
      <c r="M43" s="38">
        <v>2925</v>
      </c>
      <c r="N43" s="38">
        <v>609.86546999999996</v>
      </c>
      <c r="O43" s="38">
        <v>4000</v>
      </c>
      <c r="P43" s="37">
        <f t="shared" si="3"/>
        <v>28.516483516483518</v>
      </c>
      <c r="Q43" s="37">
        <f t="shared" si="4"/>
        <v>1.6099728742514967</v>
      </c>
      <c r="R43" s="37">
        <f t="shared" si="5"/>
        <v>1.8321951219512196</v>
      </c>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x14ac:dyDescent="0.3">
      <c r="B44" s="41">
        <v>43160</v>
      </c>
      <c r="C44" s="34">
        <f t="shared" si="6"/>
        <v>27.342841726052512</v>
      </c>
      <c r="D44" s="34">
        <f t="shared" si="7"/>
        <v>31.698280470471545</v>
      </c>
      <c r="E44" s="35"/>
      <c r="F44" s="36">
        <v>4220</v>
      </c>
      <c r="G44" s="36">
        <v>1150</v>
      </c>
      <c r="H44" s="36">
        <v>471</v>
      </c>
      <c r="I44" s="34">
        <f t="shared" si="0"/>
        <v>19.979899497487438</v>
      </c>
      <c r="J44" s="34">
        <f t="shared" si="1"/>
        <v>0.33497053045186642</v>
      </c>
      <c r="K44" s="34">
        <f t="shared" si="2"/>
        <v>7.0279716981132072</v>
      </c>
      <c r="L44" s="35"/>
      <c r="M44" s="36">
        <v>2900</v>
      </c>
      <c r="N44" s="36">
        <v>618.77969999999993</v>
      </c>
      <c r="O44" s="36">
        <v>3920</v>
      </c>
      <c r="P44" s="34">
        <f t="shared" si="3"/>
        <v>28.241758241758241</v>
      </c>
      <c r="Q44" s="34">
        <f t="shared" si="4"/>
        <v>1.6633514970059877</v>
      </c>
      <c r="R44" s="34">
        <f t="shared" si="5"/>
        <v>1.7931707317073171</v>
      </c>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2:44" x14ac:dyDescent="0.3">
      <c r="B45" s="42">
        <v>43191</v>
      </c>
      <c r="C45" s="37">
        <f>I45+J45+K45</f>
        <v>29.590692420753729</v>
      </c>
      <c r="D45" s="37">
        <f t="shared" si="7"/>
        <v>32.04554697431778</v>
      </c>
      <c r="E45" s="35"/>
      <c r="F45" s="38">
        <v>4660</v>
      </c>
      <c r="G45" s="38">
        <v>1155</v>
      </c>
      <c r="H45" s="38">
        <v>487</v>
      </c>
      <c r="I45" s="37">
        <f t="shared" si="0"/>
        <v>22.190954773869347</v>
      </c>
      <c r="J45" s="37">
        <f t="shared" si="1"/>
        <v>0.337426326129666</v>
      </c>
      <c r="K45" s="37">
        <f t="shared" si="2"/>
        <v>7.0623113207547172</v>
      </c>
      <c r="L45" s="35"/>
      <c r="M45" s="38">
        <v>2920</v>
      </c>
      <c r="N45" s="38">
        <v>604.22600699999998</v>
      </c>
      <c r="O45" s="38">
        <v>4360</v>
      </c>
      <c r="P45" s="37">
        <f t="shared" si="3"/>
        <v>28.46153846153846</v>
      </c>
      <c r="Q45" s="37">
        <f t="shared" si="4"/>
        <v>1.5762036347305388</v>
      </c>
      <c r="R45" s="37">
        <f t="shared" si="5"/>
        <v>2.0078048780487805</v>
      </c>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2:44" x14ac:dyDescent="0.3">
      <c r="B46" s="41">
        <v>43221</v>
      </c>
      <c r="C46" s="34">
        <f t="shared" si="6"/>
        <v>33.795695231169375</v>
      </c>
      <c r="D46" s="34">
        <f t="shared" si="7"/>
        <v>33.021125000473454</v>
      </c>
      <c r="E46" s="35"/>
      <c r="F46" s="36">
        <v>5180</v>
      </c>
      <c r="G46" s="36">
        <v>1320</v>
      </c>
      <c r="H46" s="36">
        <v>544</v>
      </c>
      <c r="I46" s="34">
        <f t="shared" si="0"/>
        <v>24.804020100502512</v>
      </c>
      <c r="J46" s="34">
        <f t="shared" si="1"/>
        <v>0.41846758349705304</v>
      </c>
      <c r="K46" s="34">
        <f t="shared" si="2"/>
        <v>8.5732075471698117</v>
      </c>
      <c r="L46" s="35"/>
      <c r="M46" s="36">
        <v>2970</v>
      </c>
      <c r="N46" s="36">
        <v>633.02832000000001</v>
      </c>
      <c r="O46" s="36">
        <v>4880</v>
      </c>
      <c r="P46" s="34">
        <f t="shared" si="3"/>
        <v>29.010989010989011</v>
      </c>
      <c r="Q46" s="34">
        <f t="shared" si="4"/>
        <v>1.7486725748502996</v>
      </c>
      <c r="R46" s="34">
        <f t="shared" si="5"/>
        <v>2.2614634146341461</v>
      </c>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2:44" x14ac:dyDescent="0.3">
      <c r="B47" s="42">
        <v>43252</v>
      </c>
      <c r="C47" s="37">
        <f t="shared" si="6"/>
        <v>33.906962673675309</v>
      </c>
      <c r="D47" s="37">
        <f t="shared" si="7"/>
        <v>33.477331313786259</v>
      </c>
      <c r="E47" s="35"/>
      <c r="F47" s="38">
        <v>5130</v>
      </c>
      <c r="G47" s="38">
        <v>1360</v>
      </c>
      <c r="H47" s="38">
        <v>587</v>
      </c>
      <c r="I47" s="37">
        <f t="shared" si="0"/>
        <v>24.552763819095478</v>
      </c>
      <c r="J47" s="37">
        <f t="shared" si="1"/>
        <v>0.43811394891944988</v>
      </c>
      <c r="K47" s="37">
        <f t="shared" si="2"/>
        <v>8.9160849056603766</v>
      </c>
      <c r="L47" s="35"/>
      <c r="M47" s="38">
        <v>3000</v>
      </c>
      <c r="N47" s="38">
        <v>658.23299999999995</v>
      </c>
      <c r="O47" s="38">
        <v>4830</v>
      </c>
      <c r="P47" s="37">
        <f t="shared" si="3"/>
        <v>29.340659340659339</v>
      </c>
      <c r="Q47" s="37">
        <f t="shared" si="4"/>
        <v>1.8995988023952093</v>
      </c>
      <c r="R47" s="37">
        <f t="shared" si="5"/>
        <v>2.2370731707317075</v>
      </c>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x14ac:dyDescent="0.3">
      <c r="B48" s="41">
        <v>43282</v>
      </c>
      <c r="C48" s="34">
        <f t="shared" si="6"/>
        <v>32.407273178268554</v>
      </c>
      <c r="D48" s="34">
        <f t="shared" si="7"/>
        <v>34.080607589832397</v>
      </c>
      <c r="E48" s="35"/>
      <c r="F48" s="36">
        <v>4880</v>
      </c>
      <c r="G48" s="36">
        <v>1340</v>
      </c>
      <c r="H48" s="36">
        <v>643</v>
      </c>
      <c r="I48" s="34">
        <f t="shared" si="0"/>
        <v>23.2964824120603</v>
      </c>
      <c r="J48" s="34">
        <f t="shared" si="1"/>
        <v>0.42829076620825146</v>
      </c>
      <c r="K48" s="34">
        <f t="shared" si="2"/>
        <v>8.6824999999999992</v>
      </c>
      <c r="L48" s="35"/>
      <c r="M48" s="36">
        <v>3050</v>
      </c>
      <c r="N48" s="36">
        <v>687.58775000000003</v>
      </c>
      <c r="O48" s="36">
        <v>4580</v>
      </c>
      <c r="P48" s="34">
        <f t="shared" si="3"/>
        <v>29.890109890109891</v>
      </c>
      <c r="Q48" s="34">
        <f t="shared" si="4"/>
        <v>2.075375748502994</v>
      </c>
      <c r="R48" s="34">
        <f t="shared" si="5"/>
        <v>2.1151219512195123</v>
      </c>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2:45" x14ac:dyDescent="0.3">
      <c r="B49" s="42">
        <v>43313</v>
      </c>
      <c r="C49" s="37">
        <f t="shared" si="6"/>
        <v>33.777227688187018</v>
      </c>
      <c r="D49" s="37">
        <f t="shared" si="7"/>
        <v>34.338494842887258</v>
      </c>
      <c r="E49" s="35"/>
      <c r="F49" s="38">
        <v>5080</v>
      </c>
      <c r="G49" s="38">
        <v>1380</v>
      </c>
      <c r="H49" s="38">
        <v>683</v>
      </c>
      <c r="I49" s="37">
        <f t="shared" si="0"/>
        <v>24.301507537688444</v>
      </c>
      <c r="J49" s="37">
        <f t="shared" si="1"/>
        <v>0.44793713163064836</v>
      </c>
      <c r="K49" s="37">
        <f t="shared" si="2"/>
        <v>9.0277830188679253</v>
      </c>
      <c r="L49" s="35"/>
      <c r="M49" s="38">
        <v>3050</v>
      </c>
      <c r="N49" s="38">
        <v>714.36223833333304</v>
      </c>
      <c r="O49" s="38">
        <v>4780</v>
      </c>
      <c r="P49" s="37">
        <f t="shared" si="3"/>
        <v>29.890109890109891</v>
      </c>
      <c r="Q49" s="37">
        <f t="shared" si="4"/>
        <v>2.2357020259481017</v>
      </c>
      <c r="R49" s="37">
        <f t="shared" si="5"/>
        <v>2.2126829268292685</v>
      </c>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2:45" x14ac:dyDescent="0.3">
      <c r="B50" s="41">
        <v>43344</v>
      </c>
      <c r="C50" s="34">
        <f t="shared" si="6"/>
        <v>32.408671004967374</v>
      </c>
      <c r="D50" s="34">
        <f t="shared" si="7"/>
        <v>34.343517267063305</v>
      </c>
      <c r="E50" s="35"/>
      <c r="F50" s="36">
        <v>4750</v>
      </c>
      <c r="G50" s="36">
        <v>1410</v>
      </c>
      <c r="H50" s="36">
        <v>693</v>
      </c>
      <c r="I50" s="34">
        <f t="shared" si="0"/>
        <v>22.643216080402009</v>
      </c>
      <c r="J50" s="34">
        <f t="shared" si="1"/>
        <v>0.46267190569744598</v>
      </c>
      <c r="K50" s="34">
        <f t="shared" si="2"/>
        <v>9.3027830188679239</v>
      </c>
      <c r="L50" s="35"/>
      <c r="M50" s="36">
        <v>3050</v>
      </c>
      <c r="N50" s="36">
        <v>742.08391000000006</v>
      </c>
      <c r="O50" s="36">
        <v>4450</v>
      </c>
      <c r="P50" s="34">
        <f t="shared" si="3"/>
        <v>29.890109890109891</v>
      </c>
      <c r="Q50" s="34">
        <f t="shared" si="4"/>
        <v>2.4017000598802398</v>
      </c>
      <c r="R50" s="34">
        <f t="shared" si="5"/>
        <v>2.0517073170731708</v>
      </c>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2:45" x14ac:dyDescent="0.3">
      <c r="B51" s="42">
        <v>43374</v>
      </c>
      <c r="C51" s="37">
        <f t="shared" si="6"/>
        <v>28.829349855627996</v>
      </c>
      <c r="D51" s="37">
        <f t="shared" si="7"/>
        <v>33.343698091791225</v>
      </c>
      <c r="E51" s="35"/>
      <c r="F51" s="38">
        <v>4100</v>
      </c>
      <c r="G51" s="38">
        <v>1380</v>
      </c>
      <c r="H51" s="38">
        <v>712</v>
      </c>
      <c r="I51" s="37">
        <f t="shared" si="0"/>
        <v>19.376884422110553</v>
      </c>
      <c r="J51" s="37">
        <f t="shared" si="1"/>
        <v>0.44793713163064836</v>
      </c>
      <c r="K51" s="37">
        <f t="shared" si="2"/>
        <v>9.0045283018867917</v>
      </c>
      <c r="L51" s="35"/>
      <c r="M51" s="38">
        <v>3000</v>
      </c>
      <c r="N51" s="38">
        <v>719.82356900000002</v>
      </c>
      <c r="O51" s="38">
        <v>3800</v>
      </c>
      <c r="P51" s="37">
        <f t="shared" si="3"/>
        <v>29.340659340659339</v>
      </c>
      <c r="Q51" s="37">
        <f t="shared" si="4"/>
        <v>2.2684046047904189</v>
      </c>
      <c r="R51" s="37">
        <f t="shared" si="5"/>
        <v>1.7346341463414634</v>
      </c>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2:45" x14ac:dyDescent="0.3">
      <c r="B52" s="41">
        <v>43405</v>
      </c>
      <c r="C52" s="34">
        <f t="shared" si="6"/>
        <v>27.458739987050201</v>
      </c>
      <c r="D52" s="34">
        <f t="shared" si="7"/>
        <v>31.69827413343776</v>
      </c>
      <c r="E52" s="35"/>
      <c r="F52" s="36">
        <v>3750</v>
      </c>
      <c r="G52" s="36">
        <v>1420</v>
      </c>
      <c r="H52" s="36">
        <v>723</v>
      </c>
      <c r="I52" s="34">
        <f t="shared" si="0"/>
        <v>17.618090452261306</v>
      </c>
      <c r="J52" s="34">
        <f t="shared" si="1"/>
        <v>0.46758349705304519</v>
      </c>
      <c r="K52" s="34">
        <f t="shared" si="2"/>
        <v>9.3730660377358497</v>
      </c>
      <c r="L52" s="35"/>
      <c r="M52" s="36">
        <v>2860</v>
      </c>
      <c r="N52" s="36">
        <v>730.47303999999997</v>
      </c>
      <c r="O52" s="36">
        <v>3450</v>
      </c>
      <c r="P52" s="34">
        <f t="shared" si="3"/>
        <v>27.802197802197803</v>
      </c>
      <c r="Q52" s="34">
        <f t="shared" si="4"/>
        <v>2.3321738922155686</v>
      </c>
      <c r="R52" s="34">
        <f t="shared" si="5"/>
        <v>1.5639024390243903</v>
      </c>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2:45" x14ac:dyDescent="0.3">
      <c r="B53" s="42">
        <v>43435</v>
      </c>
      <c r="C53" s="37">
        <f t="shared" si="6"/>
        <v>27.8809437352459</v>
      </c>
      <c r="D53" s="37">
        <f t="shared" si="7"/>
        <v>31.677698640168071</v>
      </c>
      <c r="E53" s="35"/>
      <c r="F53" s="38">
        <v>3680</v>
      </c>
      <c r="G53" s="38">
        <v>1500</v>
      </c>
      <c r="H53" s="38">
        <v>748</v>
      </c>
      <c r="I53" s="37">
        <f t="shared" si="0"/>
        <v>17.266331658291456</v>
      </c>
      <c r="J53" s="37">
        <f t="shared" si="1"/>
        <v>0.50687622789783893</v>
      </c>
      <c r="K53" s="37">
        <f t="shared" si="2"/>
        <v>10.107735849056604</v>
      </c>
      <c r="L53" s="35"/>
      <c r="M53" s="38">
        <v>2850</v>
      </c>
      <c r="N53" s="38">
        <v>751.09102000000007</v>
      </c>
      <c r="O53" s="38">
        <v>3380</v>
      </c>
      <c r="P53" s="37">
        <f t="shared" si="3"/>
        <v>27.692307692307693</v>
      </c>
      <c r="Q53" s="37">
        <f t="shared" si="4"/>
        <v>2.4556348502994014</v>
      </c>
      <c r="R53" s="37">
        <f t="shared" si="5"/>
        <v>1.5297560975609756</v>
      </c>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2:45" x14ac:dyDescent="0.3">
      <c r="B54" s="41">
        <v>43466</v>
      </c>
      <c r="C54" s="34">
        <f t="shared" si="6"/>
        <v>30.666525030255627</v>
      </c>
      <c r="D54" s="34">
        <f t="shared" si="7"/>
        <v>32.233987899296558</v>
      </c>
      <c r="E54" s="35"/>
      <c r="F54" s="36">
        <v>3900</v>
      </c>
      <c r="G54" s="36">
        <v>1670</v>
      </c>
      <c r="H54" s="36">
        <v>757</v>
      </c>
      <c r="I54" s="34">
        <f t="shared" si="0"/>
        <v>18.371859296482413</v>
      </c>
      <c r="J54" s="34">
        <f t="shared" si="1"/>
        <v>0.59037328094302555</v>
      </c>
      <c r="K54" s="34">
        <f t="shared" si="2"/>
        <v>11.704292452830188</v>
      </c>
      <c r="L54" s="35"/>
      <c r="M54" s="36">
        <v>2880</v>
      </c>
      <c r="N54" s="36">
        <v>771.01443000000006</v>
      </c>
      <c r="O54" s="36">
        <v>3600</v>
      </c>
      <c r="P54" s="34">
        <f t="shared" si="3"/>
        <v>28.021978021978022</v>
      </c>
      <c r="Q54" s="34">
        <f t="shared" si="4"/>
        <v>2.5749367065868269</v>
      </c>
      <c r="R54" s="34">
        <f t="shared" si="5"/>
        <v>1.6370731707317072</v>
      </c>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2:45" x14ac:dyDescent="0.3">
      <c r="B55" s="42">
        <v>43497</v>
      </c>
      <c r="C55" s="37">
        <f t="shared" si="6"/>
        <v>29.773933782323041</v>
      </c>
      <c r="D55" s="37">
        <f t="shared" si="7"/>
        <v>32.059813760257562</v>
      </c>
      <c r="E55" s="35"/>
      <c r="F55" s="38">
        <v>3680</v>
      </c>
      <c r="G55" s="38">
        <v>1690</v>
      </c>
      <c r="H55" s="38">
        <v>739</v>
      </c>
      <c r="I55" s="37">
        <f t="shared" si="0"/>
        <v>17.266331658291456</v>
      </c>
      <c r="J55" s="37">
        <f t="shared" si="1"/>
        <v>0.60019646365422397</v>
      </c>
      <c r="K55" s="37">
        <f t="shared" si="2"/>
        <v>11.907405660377359</v>
      </c>
      <c r="L55" s="35"/>
      <c r="M55" s="38">
        <v>2880</v>
      </c>
      <c r="N55" s="38">
        <v>759.84929999999997</v>
      </c>
      <c r="O55" s="38">
        <v>3380</v>
      </c>
      <c r="P55" s="37">
        <f t="shared" si="3"/>
        <v>28.021978021978022</v>
      </c>
      <c r="Q55" s="37">
        <f t="shared" si="4"/>
        <v>2.508079640718563</v>
      </c>
      <c r="R55" s="37">
        <f t="shared" si="5"/>
        <v>1.5297560975609756</v>
      </c>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2:45" x14ac:dyDescent="0.3">
      <c r="B56" s="41">
        <v>43525</v>
      </c>
      <c r="C56" s="34">
        <f t="shared" si="6"/>
        <v>28.727575091884525</v>
      </c>
      <c r="D56" s="34">
        <f t="shared" si="7"/>
        <v>31.435398946518649</v>
      </c>
      <c r="E56" s="35"/>
      <c r="F56" s="36">
        <v>3510</v>
      </c>
      <c r="G56" s="36">
        <v>1670</v>
      </c>
      <c r="H56" s="36">
        <v>731</v>
      </c>
      <c r="I56" s="34">
        <f t="shared" si="0"/>
        <v>16.412060301507537</v>
      </c>
      <c r="J56" s="34">
        <f t="shared" si="1"/>
        <v>0.59037328094302555</v>
      </c>
      <c r="K56" s="34">
        <f t="shared" si="2"/>
        <v>11.725141509433962</v>
      </c>
      <c r="L56" s="35"/>
      <c r="M56" s="36">
        <v>2840</v>
      </c>
      <c r="N56" s="36">
        <v>742.82740000000001</v>
      </c>
      <c r="O56" s="36">
        <v>3210</v>
      </c>
      <c r="P56" s="34">
        <f t="shared" si="3"/>
        <v>27.582417582417584</v>
      </c>
      <c r="Q56" s="34">
        <f t="shared" si="4"/>
        <v>2.4061520958083831</v>
      </c>
      <c r="R56" s="34">
        <f t="shared" si="5"/>
        <v>1.4468292682926829</v>
      </c>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2:45" x14ac:dyDescent="0.3">
      <c r="B57" s="42">
        <v>43556</v>
      </c>
      <c r="C57" s="37">
        <f t="shared" si="6"/>
        <v>28.289042797577615</v>
      </c>
      <c r="D57" s="37">
        <f t="shared" si="7"/>
        <v>31.176327455001548</v>
      </c>
      <c r="E57" s="35"/>
      <c r="F57" s="38">
        <v>3460</v>
      </c>
      <c r="G57" s="38">
        <v>1650</v>
      </c>
      <c r="H57" s="38">
        <v>717</v>
      </c>
      <c r="I57" s="37">
        <f t="shared" si="0"/>
        <v>16.160804020100503</v>
      </c>
      <c r="J57" s="37">
        <f t="shared" si="1"/>
        <v>0.58055009823182713</v>
      </c>
      <c r="K57" s="37">
        <f t="shared" si="2"/>
        <v>11.547688679245283</v>
      </c>
      <c r="L57" s="35"/>
      <c r="M57" s="38">
        <v>2830</v>
      </c>
      <c r="N57" s="38">
        <v>721.98727999999994</v>
      </c>
      <c r="O57" s="38">
        <v>3160</v>
      </c>
      <c r="P57" s="37">
        <f t="shared" si="3"/>
        <v>27.472527472527471</v>
      </c>
      <c r="Q57" s="37">
        <f t="shared" si="4"/>
        <v>2.2813609580838321</v>
      </c>
      <c r="R57" s="37">
        <f t="shared" si="5"/>
        <v>1.4224390243902438</v>
      </c>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2:45" x14ac:dyDescent="0.3">
      <c r="B58" s="41">
        <v>43586</v>
      </c>
      <c r="C58" s="34">
        <f t="shared" si="6"/>
        <v>28.999389619633174</v>
      </c>
      <c r="D58" s="34">
        <f t="shared" si="7"/>
        <v>31.062585549057339</v>
      </c>
      <c r="E58" s="35"/>
      <c r="F58" s="36">
        <v>3440</v>
      </c>
      <c r="G58" s="36">
        <v>1730</v>
      </c>
      <c r="H58" s="36">
        <v>696</v>
      </c>
      <c r="I58" s="34">
        <f t="shared" si="0"/>
        <v>16.060301507537687</v>
      </c>
      <c r="J58" s="34">
        <f t="shared" si="1"/>
        <v>0.6198428290766208</v>
      </c>
      <c r="K58" s="34">
        <f t="shared" si="2"/>
        <v>12.319245283018866</v>
      </c>
      <c r="L58" s="35"/>
      <c r="M58" s="36">
        <v>2830</v>
      </c>
      <c r="N58" s="36">
        <v>704.62165000000005</v>
      </c>
      <c r="O58" s="36">
        <v>3140</v>
      </c>
      <c r="P58" s="34">
        <f t="shared" si="3"/>
        <v>27.472527472527471</v>
      </c>
      <c r="Q58" s="34">
        <f t="shared" si="4"/>
        <v>2.1773751497005991</v>
      </c>
      <c r="R58" s="34">
        <f t="shared" si="5"/>
        <v>1.4126829268292682</v>
      </c>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2:45" x14ac:dyDescent="0.3">
      <c r="B59" s="42">
        <v>43617</v>
      </c>
      <c r="C59" s="37">
        <f t="shared" si="6"/>
        <v>28.90606881620543</v>
      </c>
      <c r="D59" s="37">
        <f t="shared" si="7"/>
        <v>30.980035411770938</v>
      </c>
      <c r="E59" s="35"/>
      <c r="F59" s="38">
        <v>3240</v>
      </c>
      <c r="G59" s="38">
        <v>1820</v>
      </c>
      <c r="H59" s="38">
        <v>673</v>
      </c>
      <c r="I59" s="37">
        <f t="shared" si="0"/>
        <v>15.055276381909549</v>
      </c>
      <c r="J59" s="37">
        <f t="shared" si="1"/>
        <v>0.66404715127701375</v>
      </c>
      <c r="K59" s="37">
        <f t="shared" si="2"/>
        <v>13.186745283018867</v>
      </c>
      <c r="L59" s="35"/>
      <c r="M59" s="38">
        <v>2830</v>
      </c>
      <c r="N59" s="38">
        <v>707.12846000000002</v>
      </c>
      <c r="O59" s="38">
        <v>2940</v>
      </c>
      <c r="P59" s="37">
        <f t="shared" si="3"/>
        <v>27.472527472527471</v>
      </c>
      <c r="Q59" s="37">
        <f t="shared" si="4"/>
        <v>2.1923859880239522</v>
      </c>
      <c r="R59" s="37">
        <f t="shared" si="5"/>
        <v>1.3151219512195123</v>
      </c>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row>
    <row r="60" spans="2:45" x14ac:dyDescent="0.3">
      <c r="B60" s="41">
        <v>43647</v>
      </c>
      <c r="C60" s="34">
        <f t="shared" si="6"/>
        <v>28.356160069260564</v>
      </c>
      <c r="D60" s="34">
        <f t="shared" si="7"/>
        <v>30.630539978734568</v>
      </c>
      <c r="E60" s="35"/>
      <c r="F60" s="36">
        <v>3150</v>
      </c>
      <c r="G60" s="36">
        <v>1810</v>
      </c>
      <c r="H60" s="36">
        <v>671</v>
      </c>
      <c r="I60" s="34">
        <f t="shared" si="0"/>
        <v>14.603015075376884</v>
      </c>
      <c r="J60" s="34">
        <f t="shared" si="1"/>
        <v>0.65913555992141459</v>
      </c>
      <c r="K60" s="34">
        <f t="shared" si="2"/>
        <v>13.094009433962265</v>
      </c>
      <c r="L60" s="35"/>
      <c r="M60" s="36">
        <v>2830</v>
      </c>
      <c r="N60" s="36">
        <v>656.09442999999999</v>
      </c>
      <c r="O60" s="36">
        <v>2850</v>
      </c>
      <c r="P60" s="34">
        <f t="shared" si="3"/>
        <v>27.472527472527471</v>
      </c>
      <c r="Q60" s="34">
        <f t="shared" si="4"/>
        <v>1.8867929940119761</v>
      </c>
      <c r="R60" s="34">
        <f t="shared" si="5"/>
        <v>1.271219512195122</v>
      </c>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2:45" x14ac:dyDescent="0.3">
      <c r="B61" s="42">
        <v>43678</v>
      </c>
      <c r="C61" s="37">
        <f t="shared" si="6"/>
        <v>28.153357397041923</v>
      </c>
      <c r="D61" s="37">
        <f t="shared" si="7"/>
        <v>30.528322734686078</v>
      </c>
      <c r="E61" s="35"/>
      <c r="F61" s="38">
        <v>3030</v>
      </c>
      <c r="G61" s="38">
        <v>1850</v>
      </c>
      <c r="H61" s="38">
        <v>667</v>
      </c>
      <c r="I61" s="37">
        <f t="shared" si="0"/>
        <v>14</v>
      </c>
      <c r="J61" s="37">
        <f t="shared" si="1"/>
        <v>0.67878192534381143</v>
      </c>
      <c r="K61" s="37">
        <f t="shared" si="2"/>
        <v>13.474575471698113</v>
      </c>
      <c r="L61" s="35"/>
      <c r="M61" s="38">
        <v>2830</v>
      </c>
      <c r="N61" s="38">
        <v>648.79975999999999</v>
      </c>
      <c r="O61" s="38">
        <v>2730</v>
      </c>
      <c r="P61" s="37">
        <f t="shared" si="3"/>
        <v>27.472527472527471</v>
      </c>
      <c r="Q61" s="37">
        <f t="shared" si="4"/>
        <v>1.8431123353293413</v>
      </c>
      <c r="R61" s="37">
        <f t="shared" si="5"/>
        <v>1.2126829268292683</v>
      </c>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row r="62" spans="2:45" x14ac:dyDescent="0.3">
      <c r="B62" s="41">
        <v>43709</v>
      </c>
      <c r="C62" s="34">
        <f t="shared" si="6"/>
        <v>30.26698549927977</v>
      </c>
      <c r="D62" s="34">
        <f t="shared" si="7"/>
        <v>30.509077362990446</v>
      </c>
      <c r="E62" s="35"/>
      <c r="F62" s="36">
        <v>3230</v>
      </c>
      <c r="G62" s="36">
        <v>1960</v>
      </c>
      <c r="H62" s="36">
        <v>646</v>
      </c>
      <c r="I62" s="34">
        <f t="shared" si="0"/>
        <v>15.005025125628141</v>
      </c>
      <c r="J62" s="34">
        <f t="shared" si="1"/>
        <v>0.73280943025540279</v>
      </c>
      <c r="K62" s="34">
        <f t="shared" si="2"/>
        <v>14.529150943396226</v>
      </c>
      <c r="L62" s="35"/>
      <c r="M62" s="36">
        <v>2830</v>
      </c>
      <c r="N62" s="36">
        <f>706*0.89135</f>
        <v>629.29309999999998</v>
      </c>
      <c r="O62" s="36">
        <f t="shared" ref="O62:O70" si="8">F62-300</f>
        <v>2930</v>
      </c>
      <c r="P62" s="34">
        <f t="shared" si="3"/>
        <v>27.472527472527471</v>
      </c>
      <c r="Q62" s="34">
        <f t="shared" si="4"/>
        <v>1.726305988023952</v>
      </c>
      <c r="R62" s="34">
        <f t="shared" si="5"/>
        <v>1.3102439024390244</v>
      </c>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2">
        <v>43739</v>
      </c>
      <c r="C63" s="37">
        <f t="shared" si="6"/>
        <v>30.785949937719138</v>
      </c>
      <c r="D63" s="37">
        <f t="shared" si="7"/>
        <v>30.691956375696741</v>
      </c>
      <c r="E63" s="35"/>
      <c r="F63" s="38">
        <v>3170</v>
      </c>
      <c r="G63" s="38">
        <v>2040</v>
      </c>
      <c r="H63" s="38">
        <v>613</v>
      </c>
      <c r="I63" s="37">
        <f t="shared" si="0"/>
        <v>14.703517587939698</v>
      </c>
      <c r="J63" s="37">
        <f t="shared" si="1"/>
        <v>0.77210216110019647</v>
      </c>
      <c r="K63" s="37">
        <f t="shared" si="2"/>
        <v>15.310330188679245</v>
      </c>
      <c r="L63" s="35"/>
      <c r="M63" s="38">
        <v>2830</v>
      </c>
      <c r="N63" s="38">
        <f>757*0.8781</f>
        <v>664.72169999999994</v>
      </c>
      <c r="O63" s="38">
        <f t="shared" si="8"/>
        <v>2870</v>
      </c>
      <c r="P63" s="37">
        <f t="shared" si="3"/>
        <v>27.472527472527471</v>
      </c>
      <c r="Q63" s="37">
        <f t="shared" si="4"/>
        <v>1.9384532934131733</v>
      </c>
      <c r="R63" s="37">
        <f t="shared" si="5"/>
        <v>1.2809756097560976</v>
      </c>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1">
        <v>43770</v>
      </c>
      <c r="C64" s="34">
        <f t="shared" si="6"/>
        <v>31.729462119974528</v>
      </c>
      <c r="D64" s="34">
        <f t="shared" si="7"/>
        <v>30.807046999327529</v>
      </c>
      <c r="E64" s="35"/>
      <c r="F64" s="36">
        <v>3180</v>
      </c>
      <c r="G64" s="36">
        <v>2130</v>
      </c>
      <c r="H64" s="36">
        <v>613</v>
      </c>
      <c r="I64" s="34">
        <f t="shared" si="0"/>
        <v>14.753768844221106</v>
      </c>
      <c r="J64" s="34">
        <f t="shared" si="1"/>
        <v>0.81630648330058941</v>
      </c>
      <c r="K64" s="34">
        <f t="shared" si="2"/>
        <v>16.159386792452832</v>
      </c>
      <c r="L64" s="35"/>
      <c r="M64" s="36">
        <v>2830</v>
      </c>
      <c r="N64" s="36">
        <f>796*0.8582</f>
        <v>683.12720000000002</v>
      </c>
      <c r="O64" s="36">
        <f t="shared" si="8"/>
        <v>2880</v>
      </c>
      <c r="P64" s="34">
        <f t="shared" si="3"/>
        <v>27.472527472527471</v>
      </c>
      <c r="Q64" s="34">
        <f t="shared" si="4"/>
        <v>2.0486658682634733</v>
      </c>
      <c r="R64" s="34">
        <f t="shared" si="5"/>
        <v>1.2858536585365854</v>
      </c>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2">
        <v>43800</v>
      </c>
      <c r="C65" s="37">
        <f t="shared" si="6"/>
        <v>31.777818792408869</v>
      </c>
      <c r="D65" s="37">
        <f t="shared" si="7"/>
        <v>30.765737983700244</v>
      </c>
      <c r="E65" s="35"/>
      <c r="F65" s="38">
        <v>3070</v>
      </c>
      <c r="G65" s="38">
        <v>2190</v>
      </c>
      <c r="H65" s="38">
        <v>606</v>
      </c>
      <c r="I65" s="37">
        <f t="shared" si="0"/>
        <v>14.201005025125628</v>
      </c>
      <c r="J65" s="37">
        <f t="shared" si="1"/>
        <v>0.84577603143418467</v>
      </c>
      <c r="K65" s="37">
        <f t="shared" si="2"/>
        <v>16.731037735849057</v>
      </c>
      <c r="L65" s="35"/>
      <c r="M65" s="38">
        <v>2830</v>
      </c>
      <c r="N65" s="38">
        <f>811*0.84487</f>
        <v>685.18957</v>
      </c>
      <c r="O65" s="38">
        <f t="shared" si="8"/>
        <v>2770</v>
      </c>
      <c r="P65" s="37">
        <f t="shared" si="3"/>
        <v>27.472527472527471</v>
      </c>
      <c r="Q65" s="37">
        <f t="shared" si="4"/>
        <v>2.061015389221557</v>
      </c>
      <c r="R65" s="37">
        <f t="shared" si="5"/>
        <v>1.2321951219512195</v>
      </c>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1">
        <v>43831</v>
      </c>
      <c r="C66" s="34">
        <f t="shared" si="6"/>
        <v>32.013292876232001</v>
      </c>
      <c r="D66" s="34">
        <f t="shared" si="7"/>
        <v>30.812817898991614</v>
      </c>
      <c r="E66" s="35"/>
      <c r="F66" s="36">
        <v>3060</v>
      </c>
      <c r="G66" s="36">
        <v>2220</v>
      </c>
      <c r="H66" s="36">
        <v>621</v>
      </c>
      <c r="I66" s="34">
        <f t="shared" si="0"/>
        <v>14.150753768844222</v>
      </c>
      <c r="J66" s="34">
        <f t="shared" si="1"/>
        <v>0.86051080550098236</v>
      </c>
      <c r="K66" s="34">
        <f t="shared" si="2"/>
        <v>17.002028301886792</v>
      </c>
      <c r="L66" s="35"/>
      <c r="M66" s="36">
        <v>2830</v>
      </c>
      <c r="N66" s="36">
        <f>815*0.85137</f>
        <v>693.86654999999996</v>
      </c>
      <c r="O66" s="36">
        <f t="shared" si="8"/>
        <v>2760</v>
      </c>
      <c r="P66" s="34">
        <f t="shared" si="3"/>
        <v>27.472527472527471</v>
      </c>
      <c r="Q66" s="34">
        <f t="shared" si="4"/>
        <v>2.112973353293413</v>
      </c>
      <c r="R66" s="34">
        <f t="shared" si="5"/>
        <v>1.2273170731707317</v>
      </c>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2">
        <v>43862</v>
      </c>
      <c r="C67" s="37">
        <f t="shared" si="6"/>
        <v>30.95179527349093</v>
      </c>
      <c r="D67" s="37">
        <f t="shared" si="7"/>
        <v>31.175246567279967</v>
      </c>
      <c r="E67" s="35"/>
      <c r="F67" s="38">
        <v>2930</v>
      </c>
      <c r="G67" s="38">
        <v>2180</v>
      </c>
      <c r="H67" s="38">
        <v>635</v>
      </c>
      <c r="I67" s="37">
        <f t="shared" si="0"/>
        <v>13.49748743718593</v>
      </c>
      <c r="J67" s="37">
        <f t="shared" si="1"/>
        <v>0.84086444007858541</v>
      </c>
      <c r="K67" s="37">
        <f t="shared" si="2"/>
        <v>16.613443396226415</v>
      </c>
      <c r="L67" s="35"/>
      <c r="M67" s="38">
        <v>2870</v>
      </c>
      <c r="N67" s="38">
        <f>823.53*0.83977</f>
        <v>691.57578809999995</v>
      </c>
      <c r="O67" s="38">
        <f t="shared" si="8"/>
        <v>2630</v>
      </c>
      <c r="P67" s="37">
        <f t="shared" si="3"/>
        <v>27.912087912087912</v>
      </c>
      <c r="Q67" s="37">
        <f t="shared" si="4"/>
        <v>2.0992562161676642</v>
      </c>
      <c r="R67" s="37">
        <f t="shared" si="5"/>
        <v>1.1639024390243902</v>
      </c>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1">
        <v>43891</v>
      </c>
      <c r="C68" s="34">
        <f t="shared" si="6"/>
        <v>28.980487932396535</v>
      </c>
      <c r="D68" s="34">
        <f t="shared" si="7"/>
        <v>31.601149867640757</v>
      </c>
      <c r="E68" s="35"/>
      <c r="F68" s="36">
        <v>2920</v>
      </c>
      <c r="G68" s="36">
        <v>1990</v>
      </c>
      <c r="H68" s="36">
        <v>679</v>
      </c>
      <c r="I68" s="34">
        <f t="shared" si="0"/>
        <v>13.447236180904522</v>
      </c>
      <c r="J68" s="34">
        <f t="shared" si="1"/>
        <v>0.74754420432220037</v>
      </c>
      <c r="K68" s="34">
        <f t="shared" si="2"/>
        <v>14.785707547169812</v>
      </c>
      <c r="L68" s="35"/>
      <c r="M68" s="36">
        <v>2910</v>
      </c>
      <c r="N68" s="36">
        <f>770.9*0.8952</f>
        <v>690.10968000000003</v>
      </c>
      <c r="O68" s="36">
        <f t="shared" si="8"/>
        <v>2620</v>
      </c>
      <c r="P68" s="34">
        <f t="shared" si="3"/>
        <v>28.35164835164835</v>
      </c>
      <c r="Q68" s="34">
        <f t="shared" si="4"/>
        <v>2.0904771257485031</v>
      </c>
      <c r="R68" s="34">
        <f t="shared" si="5"/>
        <v>1.1590243902439024</v>
      </c>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2">
        <v>43922</v>
      </c>
      <c r="C69" s="37">
        <f t="shared" si="6"/>
        <v>23.688526578009967</v>
      </c>
      <c r="D69" s="37">
        <f t="shared" si="7"/>
        <v>30.707427017533437</v>
      </c>
      <c r="E69" s="35"/>
      <c r="F69" s="38">
        <v>2390</v>
      </c>
      <c r="G69" s="38">
        <v>1730</v>
      </c>
      <c r="H69" s="38">
        <v>739</v>
      </c>
      <c r="I69" s="37">
        <f t="shared" si="0"/>
        <v>10.78391959798995</v>
      </c>
      <c r="J69" s="37">
        <f t="shared" si="1"/>
        <v>0.6198428290766208</v>
      </c>
      <c r="K69" s="37">
        <f t="shared" si="2"/>
        <v>12.284764150943396</v>
      </c>
      <c r="L69" s="35"/>
      <c r="M69" s="38">
        <v>2880</v>
      </c>
      <c r="N69" s="38">
        <f>729.2/1.141</f>
        <v>639.08851884312014</v>
      </c>
      <c r="O69" s="38">
        <f t="shared" si="8"/>
        <v>2090</v>
      </c>
      <c r="P69" s="37">
        <f t="shared" si="3"/>
        <v>28.021978021978022</v>
      </c>
      <c r="Q69" s="37">
        <f t="shared" si="4"/>
        <v>1.7849611906773661</v>
      </c>
      <c r="R69" s="37">
        <f t="shared" si="5"/>
        <v>0.9004878048780488</v>
      </c>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1">
        <v>43952</v>
      </c>
      <c r="C70" s="34">
        <f t="shared" si="6"/>
        <v>24.857305387913733</v>
      </c>
      <c r="D70" s="34">
        <f t="shared" si="7"/>
        <v>31.092176427015669</v>
      </c>
      <c r="E70" s="35"/>
      <c r="F70" s="36">
        <v>2600</v>
      </c>
      <c r="G70" s="36">
        <v>1750</v>
      </c>
      <c r="H70" s="36">
        <v>845</v>
      </c>
      <c r="I70" s="34">
        <f t="shared" si="0"/>
        <v>11.839195979899497</v>
      </c>
      <c r="J70" s="34">
        <f t="shared" si="1"/>
        <v>0.62966601178781922</v>
      </c>
      <c r="K70" s="34">
        <f t="shared" si="2"/>
        <v>12.388443396226416</v>
      </c>
      <c r="L70" s="35"/>
      <c r="M70" s="36">
        <v>2900</v>
      </c>
      <c r="N70" s="36">
        <f>734.1/1.1302</f>
        <v>649.53105645018582</v>
      </c>
      <c r="O70" s="36">
        <f t="shared" si="8"/>
        <v>2300</v>
      </c>
      <c r="P70" s="34">
        <f t="shared" si="3"/>
        <v>28.241758241758241</v>
      </c>
      <c r="Q70" s="34">
        <f t="shared" si="4"/>
        <v>1.8474913559891366</v>
      </c>
      <c r="R70" s="34">
        <f t="shared" si="5"/>
        <v>1.0029268292682927</v>
      </c>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2">
        <v>43983</v>
      </c>
      <c r="C71" s="37">
        <f t="shared" ref="C71:C72" si="9">I71+J71+K71</f>
        <v>29.669012188029892</v>
      </c>
      <c r="D71" s="37">
        <f t="shared" ref="D71:D72" si="10">P71+Q71+R71</f>
        <v>31.510086076491348</v>
      </c>
      <c r="E71" s="35"/>
      <c r="F71" s="38">
        <v>2980</v>
      </c>
      <c r="G71" s="38">
        <v>2050</v>
      </c>
      <c r="H71" s="38">
        <v>939</v>
      </c>
      <c r="I71" s="37">
        <f>(F71-244)*100/19900</f>
        <v>13.748743718592964</v>
      </c>
      <c r="J71" s="37">
        <f t="shared" ref="J71:J72" si="11">((G71-103)-365)*100/203600</f>
        <v>0.77701375245579563</v>
      </c>
      <c r="K71" s="37">
        <f>(G71-365-H71*8.5%)*100/10600</f>
        <v>15.143254716981133</v>
      </c>
      <c r="L71" s="35"/>
      <c r="M71" s="38">
        <v>2910</v>
      </c>
      <c r="N71" s="38">
        <f>747.1*0.89682</f>
        <v>670.01422200000002</v>
      </c>
      <c r="O71" s="38">
        <f t="shared" ref="O71:O72" si="12">F71-300</f>
        <v>2680</v>
      </c>
      <c r="P71" s="37">
        <f>(M71-330)*100/9100</f>
        <v>28.35164835164835</v>
      </c>
      <c r="Q71" s="37">
        <f>(N71-341)*100/16700</f>
        <v>1.9701450419161677</v>
      </c>
      <c r="R71" s="37">
        <f>(O71-244)*100/205000</f>
        <v>1.1882926829268292</v>
      </c>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1">
        <v>44013</v>
      </c>
      <c r="C72" s="34">
        <f t="shared" si="9"/>
        <v>28.761243561656748</v>
      </c>
      <c r="D72" s="34">
        <f t="shared" si="10"/>
        <v>31.637191308040578</v>
      </c>
      <c r="E72" s="35"/>
      <c r="F72" s="36">
        <v>3070</v>
      </c>
      <c r="G72" s="36">
        <v>1920</v>
      </c>
      <c r="H72" s="36">
        <v>1026</v>
      </c>
      <c r="I72" s="34">
        <f t="shared" ref="I72" si="13">(F72-244)*100/19900</f>
        <v>14.201005025125628</v>
      </c>
      <c r="J72" s="34">
        <f t="shared" si="11"/>
        <v>0.71316306483300584</v>
      </c>
      <c r="K72" s="34">
        <f t="shared" ref="K72" si="14">(G72-365-H72*8.5%)*100/10600</f>
        <v>13.847075471698114</v>
      </c>
      <c r="L72" s="35"/>
      <c r="M72" s="36">
        <v>2920</v>
      </c>
      <c r="N72" s="36">
        <f>736*0.90429</f>
        <v>665.55744000000004</v>
      </c>
      <c r="O72" s="36">
        <f t="shared" si="12"/>
        <v>2770</v>
      </c>
      <c r="P72" s="34">
        <f t="shared" ref="P72" si="15">(M72-330)*100/9100</f>
        <v>28.46153846153846</v>
      </c>
      <c r="Q72" s="34">
        <f t="shared" ref="Q72" si="16">(N72-341)*100/16700</f>
        <v>1.9434577245508986</v>
      </c>
      <c r="R72" s="34">
        <f t="shared" ref="R72" si="17">(O72-244)*100/205000</f>
        <v>1.2321951219512195</v>
      </c>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2">
        <v>44044</v>
      </c>
      <c r="C73" s="37">
        <f t="shared" ref="C73" si="18">I73+J73+K73</f>
        <v>28.242653860793524</v>
      </c>
      <c r="D73" s="37">
        <f t="shared" ref="D73" si="19">P73+Q73+R73</f>
        <v>31.541153919695319</v>
      </c>
      <c r="E73" s="35"/>
      <c r="F73" s="38">
        <v>3080</v>
      </c>
      <c r="G73" s="38">
        <v>1860</v>
      </c>
      <c r="H73" s="38">
        <v>992.7455218255318</v>
      </c>
      <c r="I73" s="37">
        <f t="shared" ref="I73:I79" si="20">(F73-244)*100/19900</f>
        <v>14.251256281407036</v>
      </c>
      <c r="J73" s="37">
        <f>((G73-103)-365)*100/203600</f>
        <v>0.68369351669941059</v>
      </c>
      <c r="K73" s="37">
        <f t="shared" ref="K73:K79" si="21">(G73-365-H73*8.5%)*100/10600</f>
        <v>13.307704062687076</v>
      </c>
      <c r="L73" s="35"/>
      <c r="M73" s="38">
        <v>2920</v>
      </c>
      <c r="N73" s="38">
        <f>719.4*0.90173</f>
        <v>648.70456200000001</v>
      </c>
      <c r="O73" s="38">
        <f t="shared" ref="O73" si="22">F73-300</f>
        <v>2780</v>
      </c>
      <c r="P73" s="37">
        <f t="shared" ref="P73:P79" si="23">(M73-330)*100/9100</f>
        <v>28.46153846153846</v>
      </c>
      <c r="Q73" s="37">
        <f t="shared" ref="Q73:Q79" si="24">(N73-341)*100/16700</f>
        <v>1.8425422874251498</v>
      </c>
      <c r="R73" s="37">
        <f t="shared" ref="R73:R79" si="25">(O73-244)*100/205000</f>
        <v>1.2370731707317073</v>
      </c>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1">
        <v>44075</v>
      </c>
      <c r="C74" s="34">
        <f t="shared" ref="C74:C75" si="26">I74+J74+K74</f>
        <v>29.544585280444558</v>
      </c>
      <c r="D74" s="34">
        <f t="shared" ref="D74:D75" si="27">P74+Q74+R74</f>
        <v>31.591636557200793</v>
      </c>
      <c r="E74" s="35"/>
      <c r="F74" s="36">
        <v>3180</v>
      </c>
      <c r="G74" s="36">
        <v>1940</v>
      </c>
      <c r="H74" s="36">
        <v>986</v>
      </c>
      <c r="I74" s="34">
        <f t="shared" si="20"/>
        <v>14.753768844221106</v>
      </c>
      <c r="J74" s="34">
        <f t="shared" ref="J74:J79" si="28">((G74-103)-365)*100/203600</f>
        <v>0.72298624754420437</v>
      </c>
      <c r="K74" s="34">
        <f t="shared" si="21"/>
        <v>14.067830188679245</v>
      </c>
      <c r="L74" s="35"/>
      <c r="M74" s="36">
        <v>2920</v>
      </c>
      <c r="N74" s="36">
        <f>713.7*0.90933</f>
        <v>648.98882100000003</v>
      </c>
      <c r="O74" s="36">
        <f t="shared" ref="O74:O76" si="29">F74-300</f>
        <v>2880</v>
      </c>
      <c r="P74" s="34">
        <f t="shared" si="23"/>
        <v>28.46153846153846</v>
      </c>
      <c r="Q74" s="34">
        <f t="shared" si="24"/>
        <v>1.8442444371257487</v>
      </c>
      <c r="R74" s="34">
        <f t="shared" si="25"/>
        <v>1.2858536585365854</v>
      </c>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2">
        <v>44105</v>
      </c>
      <c r="C75" s="37">
        <f t="shared" si="26"/>
        <v>29.748603979231888</v>
      </c>
      <c r="D75" s="37">
        <f t="shared" si="27"/>
        <v>31.637231541719562</v>
      </c>
      <c r="E75" s="35"/>
      <c r="F75" s="38">
        <v>3140</v>
      </c>
      <c r="G75" s="38">
        <v>1980</v>
      </c>
      <c r="H75" s="38">
        <v>976</v>
      </c>
      <c r="I75" s="37">
        <f t="shared" si="20"/>
        <v>14.552763819095478</v>
      </c>
      <c r="J75" s="37">
        <f t="shared" si="28"/>
        <v>0.74263261296660121</v>
      </c>
      <c r="K75" s="37">
        <f t="shared" si="21"/>
        <v>14.453207547169811</v>
      </c>
      <c r="L75" s="35"/>
      <c r="M75" s="38">
        <v>2920</v>
      </c>
      <c r="N75" s="38">
        <f>726.8*0.9079</f>
        <v>659.86171999999999</v>
      </c>
      <c r="O75" s="38">
        <f t="shared" si="29"/>
        <v>2840</v>
      </c>
      <c r="P75" s="37">
        <f t="shared" si="23"/>
        <v>28.46153846153846</v>
      </c>
      <c r="Q75" s="37">
        <f t="shared" si="24"/>
        <v>1.909351616766467</v>
      </c>
      <c r="R75" s="37">
        <f t="shared" si="25"/>
        <v>1.2663414634146342</v>
      </c>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1">
        <v>44136</v>
      </c>
      <c r="C76" s="34">
        <f t="shared" ref="C76:C77" si="30">I76+J76+K76</f>
        <v>29.149160999421991</v>
      </c>
      <c r="D76" s="34">
        <f t="shared" ref="D76" si="31">P76+Q76+R76</f>
        <v>31.554952336228105</v>
      </c>
      <c r="E76" s="35"/>
      <c r="F76" s="36">
        <v>3050</v>
      </c>
      <c r="G76" s="36">
        <v>1960</v>
      </c>
      <c r="H76" s="36">
        <v>912</v>
      </c>
      <c r="I76" s="34">
        <f t="shared" si="20"/>
        <v>14.100502512562814</v>
      </c>
      <c r="J76" s="34">
        <f t="shared" si="28"/>
        <v>0.73280943025540279</v>
      </c>
      <c r="K76" s="34">
        <f t="shared" si="21"/>
        <v>14.315849056603774</v>
      </c>
      <c r="L76" s="35"/>
      <c r="M76" s="36">
        <v>2920</v>
      </c>
      <c r="N76" s="36">
        <f>729.3*0.896</f>
        <v>653.45280000000002</v>
      </c>
      <c r="O76" s="36">
        <f t="shared" si="29"/>
        <v>2750</v>
      </c>
      <c r="P76" s="34">
        <f t="shared" si="23"/>
        <v>28.46153846153846</v>
      </c>
      <c r="Q76" s="34">
        <f t="shared" si="24"/>
        <v>1.8709748502994012</v>
      </c>
      <c r="R76" s="34">
        <f t="shared" si="25"/>
        <v>1.2224390243902439</v>
      </c>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2">
        <v>44166</v>
      </c>
      <c r="C77" s="37">
        <f t="shared" si="30"/>
        <v>29.048730838667346</v>
      </c>
      <c r="D77" s="37">
        <f>P77+Q77+R77</f>
        <v>31.938908244187306</v>
      </c>
      <c r="E77" s="35"/>
      <c r="F77" s="38">
        <v>3000</v>
      </c>
      <c r="G77" s="38">
        <v>1970</v>
      </c>
      <c r="H77" s="38">
        <v>847.68305758282122</v>
      </c>
      <c r="I77" s="37">
        <f t="shared" si="20"/>
        <v>13.849246231155778</v>
      </c>
      <c r="J77" s="37">
        <f t="shared" si="28"/>
        <v>0.73772102161100195</v>
      </c>
      <c r="K77" s="37">
        <f t="shared" si="21"/>
        <v>14.461763585900568</v>
      </c>
      <c r="L77" s="35"/>
      <c r="M77" s="38">
        <v>2940</v>
      </c>
      <c r="N77" s="38">
        <f>755.15/1.1025</f>
        <v>684.94331065759638</v>
      </c>
      <c r="O77" s="38">
        <f t="shared" ref="O77:O84" si="32">F77-300</f>
        <v>2700</v>
      </c>
      <c r="P77" s="37">
        <f t="shared" si="23"/>
        <v>28.681318681318682</v>
      </c>
      <c r="Q77" s="37">
        <f t="shared" si="24"/>
        <v>2.0595407823808167</v>
      </c>
      <c r="R77" s="37">
        <f t="shared" si="25"/>
        <v>1.1980487804878048</v>
      </c>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1">
        <v>44197</v>
      </c>
      <c r="C78" s="34">
        <f t="shared" ref="C78:C79" si="33">I78+J78+K78</f>
        <v>30.095637397052336</v>
      </c>
      <c r="D78" s="34">
        <f t="shared" ref="D78" si="34">P78+Q78+R78</f>
        <v>32.070119584682338</v>
      </c>
      <c r="E78" s="35"/>
      <c r="F78" s="36">
        <v>3060</v>
      </c>
      <c r="G78" s="36">
        <v>2040</v>
      </c>
      <c r="H78" s="36">
        <v>784.5313469007184</v>
      </c>
      <c r="I78" s="34">
        <f t="shared" si="20"/>
        <v>14.150753768844222</v>
      </c>
      <c r="J78" s="34">
        <f t="shared" si="28"/>
        <v>0.77210216110019647</v>
      </c>
      <c r="K78" s="34">
        <f t="shared" si="21"/>
        <v>15.172781467107916</v>
      </c>
      <c r="L78" s="35"/>
      <c r="M78" s="36">
        <v>2940</v>
      </c>
      <c r="N78" s="36">
        <f>784.8/1.118</f>
        <v>701.9677996422181</v>
      </c>
      <c r="O78" s="36">
        <f t="shared" si="32"/>
        <v>2760</v>
      </c>
      <c r="P78" s="34">
        <f t="shared" si="23"/>
        <v>28.681318681318682</v>
      </c>
      <c r="Q78" s="34">
        <f t="shared" si="24"/>
        <v>2.1614838301929229</v>
      </c>
      <c r="R78" s="34">
        <f t="shared" si="25"/>
        <v>1.2273170731707317</v>
      </c>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2">
        <v>44228</v>
      </c>
      <c r="C79" s="37">
        <f t="shared" si="33"/>
        <v>30.846460647980006</v>
      </c>
      <c r="D79" s="37">
        <f>P79+Q79+R79</f>
        <v>32.469614414805065</v>
      </c>
      <c r="E79" s="35"/>
      <c r="F79" s="38">
        <v>3150</v>
      </c>
      <c r="G79" s="38">
        <v>2070</v>
      </c>
      <c r="H79" s="38">
        <v>783.5233462561215</v>
      </c>
      <c r="I79" s="37">
        <f t="shared" si="20"/>
        <v>14.603015075376884</v>
      </c>
      <c r="J79" s="37">
        <f t="shared" si="28"/>
        <v>0.78683693516699416</v>
      </c>
      <c r="K79" s="37">
        <f t="shared" si="21"/>
        <v>15.456608637436128</v>
      </c>
      <c r="L79" s="35"/>
      <c r="M79" s="38">
        <v>2940</v>
      </c>
      <c r="N79" s="38">
        <f>871.9/1.1452</f>
        <v>761.35172895564097</v>
      </c>
      <c r="O79" s="38">
        <f t="shared" si="32"/>
        <v>2850</v>
      </c>
      <c r="P79" s="37">
        <f t="shared" si="23"/>
        <v>28.681318681318682</v>
      </c>
      <c r="Q79" s="37">
        <f t="shared" si="24"/>
        <v>2.517076221291263</v>
      </c>
      <c r="R79" s="37">
        <f t="shared" si="25"/>
        <v>1.271219512195122</v>
      </c>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1">
        <v>44256</v>
      </c>
      <c r="C80" s="34">
        <f t="shared" ref="C80:C81" si="35">I80+J80+K80</f>
        <v>32.544882710527844</v>
      </c>
      <c r="D80" s="34">
        <f t="shared" ref="D80" si="36">P80+Q80+R80</f>
        <v>32.959272863667572</v>
      </c>
      <c r="E80" s="35"/>
      <c r="F80" s="36">
        <v>3430</v>
      </c>
      <c r="G80" s="36">
        <v>2100</v>
      </c>
      <c r="H80" s="36">
        <v>791.46306465878047</v>
      </c>
      <c r="I80" s="34">
        <f t="shared" ref="I80:I81" si="37">(F80-244)*100/19900</f>
        <v>16.010050251256281</v>
      </c>
      <c r="J80" s="34">
        <f t="shared" ref="J80:J81" si="38">((G80-103)-365)*100/203600</f>
        <v>0.80157170923379173</v>
      </c>
      <c r="K80" s="34">
        <f t="shared" ref="K80:K81" si="39">(G80-365-H80*8.5%)*100/10600</f>
        <v>15.73326075003777</v>
      </c>
      <c r="L80" s="35"/>
      <c r="M80" s="36">
        <v>2960</v>
      </c>
      <c r="N80" s="36">
        <f>910.4/1.1618</f>
        <v>783.61163711482186</v>
      </c>
      <c r="O80" s="36">
        <f t="shared" si="32"/>
        <v>3130</v>
      </c>
      <c r="P80" s="34">
        <f t="shared" ref="P80:P81" si="40">(M80-330)*100/9100</f>
        <v>28.901098901098901</v>
      </c>
      <c r="Q80" s="34">
        <f t="shared" ref="Q80:Q81" si="41">(N80-341)*100/16700</f>
        <v>2.6503690845198915</v>
      </c>
      <c r="R80" s="34">
        <f t="shared" ref="R80:R81" si="42">(O80-244)*100/205000</f>
        <v>1.4078048780487804</v>
      </c>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1:45" x14ac:dyDescent="0.3">
      <c r="B81" s="42">
        <v>44287</v>
      </c>
      <c r="C81" s="37">
        <f t="shared" si="35"/>
        <v>33.108931375655743</v>
      </c>
      <c r="D81" s="37">
        <f>P81+Q81+R81</f>
        <v>33.467832388933111</v>
      </c>
      <c r="E81" s="35"/>
      <c r="F81" s="38">
        <v>3450</v>
      </c>
      <c r="G81" s="38">
        <v>2150</v>
      </c>
      <c r="H81" s="38">
        <v>832.25425579488706</v>
      </c>
      <c r="I81" s="37">
        <f t="shared" si="37"/>
        <v>16.110552763819097</v>
      </c>
      <c r="J81" s="37">
        <f t="shared" si="38"/>
        <v>0.82612966601178783</v>
      </c>
      <c r="K81" s="37">
        <f t="shared" si="39"/>
        <v>16.172248945824855</v>
      </c>
      <c r="L81" s="35"/>
      <c r="M81" s="38">
        <v>2980</v>
      </c>
      <c r="N81" s="38">
        <f>963.54/1.1606</f>
        <v>830.20851283818706</v>
      </c>
      <c r="O81" s="38">
        <f t="shared" si="32"/>
        <v>3150</v>
      </c>
      <c r="P81" s="37">
        <f t="shared" si="40"/>
        <v>29.12087912087912</v>
      </c>
      <c r="Q81" s="37">
        <f t="shared" si="41"/>
        <v>2.9293922924442342</v>
      </c>
      <c r="R81" s="37">
        <f t="shared" si="42"/>
        <v>1.417560975609756</v>
      </c>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1:45" x14ac:dyDescent="0.3">
      <c r="B82" s="41">
        <v>44317</v>
      </c>
      <c r="C82" s="34">
        <f t="shared" ref="C82:C83" si="43">I82+J82+K82</f>
        <v>33.203517277556983</v>
      </c>
      <c r="D82" s="34">
        <f t="shared" ref="D82" si="44">P82+Q82+R82</f>
        <v>33.609515332920175</v>
      </c>
      <c r="E82" s="35"/>
      <c r="F82" s="36">
        <v>3350</v>
      </c>
      <c r="G82" s="36">
        <v>2210</v>
      </c>
      <c r="H82" s="36">
        <v>830.26995982239293</v>
      </c>
      <c r="I82" s="34">
        <f t="shared" ref="I82:I84" si="45">(F82-244)*100/19900</f>
        <v>15.608040201005025</v>
      </c>
      <c r="J82" s="34">
        <f t="shared" ref="J82:J84" si="46">((G82-103)-365)*100/203600</f>
        <v>0.85559921414538309</v>
      </c>
      <c r="K82" s="34">
        <f t="shared" ref="K82:K84" si="47">(G82-365-H82*8.5%)*100/10600</f>
        <v>16.739877862406573</v>
      </c>
      <c r="L82" s="35"/>
      <c r="M82" s="36">
        <v>2980</v>
      </c>
      <c r="N82" s="36">
        <f>997.18/1.1568</f>
        <v>862.01590594744118</v>
      </c>
      <c r="O82" s="36">
        <f t="shared" si="32"/>
        <v>3050</v>
      </c>
      <c r="P82" s="34">
        <f t="shared" ref="P82:P84" si="48">(M82-330)*100/9100</f>
        <v>29.12087912087912</v>
      </c>
      <c r="Q82" s="34">
        <f t="shared" ref="Q82:Q83" si="49">(N82-341)*100/16700</f>
        <v>3.1198557242361749</v>
      </c>
      <c r="R82" s="34">
        <f t="shared" ref="R82:R83" si="50">(O82-244)*100/205000</f>
        <v>1.3687804878048782</v>
      </c>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1:45" x14ac:dyDescent="0.3">
      <c r="A83" s="35"/>
      <c r="B83" s="42">
        <v>44348</v>
      </c>
      <c r="C83" s="37">
        <f t="shared" si="43"/>
        <v>32.464124769243682</v>
      </c>
      <c r="D83" s="37">
        <f>P83+Q83+R83</f>
        <v>33.620309088638329</v>
      </c>
      <c r="E83" s="35"/>
      <c r="F83" s="38">
        <v>3320</v>
      </c>
      <c r="G83" s="38">
        <v>2150</v>
      </c>
      <c r="H83" s="38">
        <v>821.70448078193613</v>
      </c>
      <c r="I83" s="37">
        <f t="shared" si="45"/>
        <v>15.457286432160805</v>
      </c>
      <c r="J83" s="37">
        <f t="shared" si="46"/>
        <v>0.82612966601178783</v>
      </c>
      <c r="K83" s="37">
        <f t="shared" si="47"/>
        <v>16.180708671071088</v>
      </c>
      <c r="L83" s="35"/>
      <c r="M83" s="38">
        <v>2980</v>
      </c>
      <c r="N83" s="38">
        <f>1007.03/1.1625</f>
        <v>866.26236559139772</v>
      </c>
      <c r="O83" s="38">
        <f t="shared" si="32"/>
        <v>3020</v>
      </c>
      <c r="P83" s="37">
        <f t="shared" si="48"/>
        <v>29.12087912087912</v>
      </c>
      <c r="Q83" s="37">
        <f t="shared" si="49"/>
        <v>3.1452836262957948</v>
      </c>
      <c r="R83" s="37">
        <f t="shared" si="50"/>
        <v>1.3541463414634147</v>
      </c>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1:45" x14ac:dyDescent="0.3">
      <c r="A84" s="35"/>
      <c r="B84" s="41">
        <v>44378</v>
      </c>
      <c r="C84" s="34">
        <f t="shared" ref="C84:C88" si="51">I84+J84+K84</f>
        <v>31.592276402886366</v>
      </c>
      <c r="D84" s="34">
        <f t="shared" ref="D84" si="52">P84+Q84+R84</f>
        <v>33.426200769061225</v>
      </c>
      <c r="E84" s="35"/>
      <c r="F84" s="36">
        <v>3230</v>
      </c>
      <c r="G84" s="36">
        <v>2110</v>
      </c>
      <c r="H84" s="36">
        <v>849.8658173306319</v>
      </c>
      <c r="I84" s="34">
        <f t="shared" si="45"/>
        <v>15.005025125628141</v>
      </c>
      <c r="J84" s="34">
        <f t="shared" si="46"/>
        <v>0.80648330058939099</v>
      </c>
      <c r="K84" s="34">
        <f t="shared" si="47"/>
        <v>15.780767976668834</v>
      </c>
      <c r="L84" s="35"/>
      <c r="M84" s="36">
        <v>2980</v>
      </c>
      <c r="N84" s="36">
        <f>981.15/1.1664</f>
        <v>841.17798353909461</v>
      </c>
      <c r="O84" s="36">
        <f t="shared" si="32"/>
        <v>2930</v>
      </c>
      <c r="P84" s="34">
        <f t="shared" si="48"/>
        <v>29.12087912087912</v>
      </c>
      <c r="Q84" s="34">
        <f t="shared" ref="Q84:Q87" si="53">(N84-341)*100/16700</f>
        <v>2.9950777457430817</v>
      </c>
      <c r="R84" s="34">
        <f t="shared" ref="R84:R87" si="54">(O84-244)*100/205000</f>
        <v>1.3102439024390244</v>
      </c>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1:45" x14ac:dyDescent="0.3">
      <c r="A85" s="35"/>
      <c r="B85" s="42">
        <v>44409</v>
      </c>
      <c r="C85" s="37">
        <f t="shared" si="51"/>
        <v>32.097709258926962</v>
      </c>
      <c r="D85" s="37">
        <f>P85+Q85+R85</f>
        <v>33.455540600138526</v>
      </c>
      <c r="E85" s="35"/>
      <c r="F85" s="38">
        <v>3290</v>
      </c>
      <c r="G85" s="38">
        <v>2130</v>
      </c>
      <c r="H85" s="38">
        <v>843.10315406073209</v>
      </c>
      <c r="I85" s="37">
        <f t="shared" ref="I85:I87" si="55">(F85-244)*100/19900</f>
        <v>15.306532663316583</v>
      </c>
      <c r="J85" s="37">
        <f t="shared" ref="J85:J87" si="56">((G85-103)-365)*100/203600</f>
        <v>0.81630648330058941</v>
      </c>
      <c r="K85" s="37">
        <f t="shared" ref="K85:K87" si="57">(G85-365-H85*8.5%)*100/10600</f>
        <v>15.974870112309791</v>
      </c>
      <c r="L85" s="35"/>
      <c r="M85" s="38">
        <v>3000</v>
      </c>
      <c r="N85" s="38">
        <f>944.95/1.1746</f>
        <v>804.48663374765874</v>
      </c>
      <c r="O85" s="38">
        <f t="shared" ref="O85:O88" si="58">F85-300</f>
        <v>2990</v>
      </c>
      <c r="P85" s="37">
        <f t="shared" ref="P85:P87" si="59">(M85-330)*100/9100</f>
        <v>29.340659340659339</v>
      </c>
      <c r="Q85" s="37">
        <f t="shared" si="53"/>
        <v>2.7753690643572382</v>
      </c>
      <c r="R85" s="37">
        <f t="shared" si="54"/>
        <v>1.3395121951219513</v>
      </c>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1:45" x14ac:dyDescent="0.3">
      <c r="A86" s="35"/>
      <c r="B86" s="41">
        <v>44440</v>
      </c>
      <c r="C86" s="34">
        <f t="shared" ref="C86" si="60">I86+J86+K86</f>
        <v>33.853443229842831</v>
      </c>
      <c r="D86" s="34">
        <f t="shared" ref="D86" si="61">P86+Q86+R86</f>
        <v>34.427595184205231</v>
      </c>
      <c r="E86" s="35"/>
      <c r="F86" s="36">
        <v>3440</v>
      </c>
      <c r="G86" s="36">
        <v>2230</v>
      </c>
      <c r="H86" s="36">
        <v>831.31472355826077</v>
      </c>
      <c r="I86" s="34">
        <f t="shared" si="55"/>
        <v>16.060301507537687</v>
      </c>
      <c r="J86" s="34">
        <f t="shared" si="56"/>
        <v>0.86542239685658151</v>
      </c>
      <c r="K86" s="34">
        <f t="shared" si="57"/>
        <v>16.927719325448564</v>
      </c>
      <c r="L86" s="35"/>
      <c r="M86" s="36">
        <v>3070</v>
      </c>
      <c r="N86" s="36">
        <f>964.93/1.168</f>
        <v>826.13869863013701</v>
      </c>
      <c r="O86" s="36">
        <f t="shared" si="58"/>
        <v>3140</v>
      </c>
      <c r="P86" s="34">
        <f t="shared" si="59"/>
        <v>30.109890109890109</v>
      </c>
      <c r="Q86" s="34">
        <f t="shared" si="53"/>
        <v>2.9050221474858504</v>
      </c>
      <c r="R86" s="34">
        <f t="shared" si="54"/>
        <v>1.4126829268292682</v>
      </c>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1:45" x14ac:dyDescent="0.3">
      <c r="A87" s="35"/>
      <c r="B87" s="42">
        <v>44470</v>
      </c>
      <c r="C87" s="37">
        <f t="shared" si="51"/>
        <v>36.569184418310556</v>
      </c>
      <c r="D87" s="37">
        <f>P87+Q87+R87</f>
        <v>36.560061761074095</v>
      </c>
      <c r="E87" s="35"/>
      <c r="F87" s="38">
        <v>3780</v>
      </c>
      <c r="G87" s="38">
        <v>2330</v>
      </c>
      <c r="H87" s="38">
        <v>813</v>
      </c>
      <c r="I87" s="37">
        <f t="shared" si="55"/>
        <v>17.768844221105528</v>
      </c>
      <c r="J87" s="37">
        <f t="shared" si="56"/>
        <v>0.91453831041257372</v>
      </c>
      <c r="K87" s="37">
        <f t="shared" si="57"/>
        <v>17.885801886792454</v>
      </c>
      <c r="L87" s="35"/>
      <c r="M87" s="38">
        <v>3240</v>
      </c>
      <c r="N87" s="38">
        <f>990.88/1.176</f>
        <v>842.58503401360554</v>
      </c>
      <c r="O87" s="38">
        <f t="shared" si="58"/>
        <v>3480</v>
      </c>
      <c r="P87" s="37">
        <f t="shared" si="59"/>
        <v>31.978021978021978</v>
      </c>
      <c r="Q87" s="37">
        <f t="shared" si="53"/>
        <v>3.003503197686261</v>
      </c>
      <c r="R87" s="37">
        <f t="shared" si="54"/>
        <v>1.5785365853658537</v>
      </c>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1:45" x14ac:dyDescent="0.3">
      <c r="A88" s="35"/>
      <c r="B88" s="41">
        <v>44501</v>
      </c>
      <c r="C88" s="34">
        <f t="shared" si="51"/>
        <v>42.282226604914911</v>
      </c>
      <c r="D88" s="34">
        <f t="shared" ref="D88" si="62">P88+Q88+R88</f>
        <v>39.218619112234485</v>
      </c>
      <c r="E88" s="35"/>
      <c r="F88" s="36">
        <v>4380</v>
      </c>
      <c r="G88" s="36">
        <v>2600</v>
      </c>
      <c r="H88" s="36">
        <v>790.32344269895748</v>
      </c>
      <c r="I88" s="34">
        <f>(F88-'Processing costs'!C88)*100/19900</f>
        <v>20.78391959798995</v>
      </c>
      <c r="J88" s="34">
        <f>((G88-103)-'Processing costs'!E88)*100/203600</f>
        <v>1.0471512770137525</v>
      </c>
      <c r="K88" s="34">
        <f>(G88-'Processing costs'!D88-H88*8.5%)*100/10600</f>
        <v>20.451155729911211</v>
      </c>
      <c r="L88" s="35"/>
      <c r="M88" s="36">
        <v>3440</v>
      </c>
      <c r="N88" s="36">
        <f>1026.5/1.179</f>
        <v>870.65309584393549</v>
      </c>
      <c r="O88" s="36">
        <f t="shared" si="58"/>
        <v>4080</v>
      </c>
      <c r="P88" s="34">
        <f>(M88-'Processing costs'!G88)*100/9100</f>
        <v>34.175824175824175</v>
      </c>
      <c r="Q88" s="34">
        <f>(N88-'Processing costs'!H88)*100/16700</f>
        <v>3.1715754242151828</v>
      </c>
      <c r="R88" s="34">
        <f>(O88-'Processing costs'!I88)*100/205000</f>
        <v>1.8712195121951221</v>
      </c>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1:45" x14ac:dyDescent="0.3">
      <c r="A89" s="35" t="s">
        <v>53</v>
      </c>
      <c r="B89" s="42">
        <v>44531</v>
      </c>
      <c r="C89" s="37">
        <f t="shared" ref="C89" si="63">I89+J89+K89</f>
        <v>44.703392658750154</v>
      </c>
      <c r="D89" s="37">
        <f t="shared" ref="D89:D90" si="64">P89+Q89+R89</f>
        <v>40.983469729060694</v>
      </c>
      <c r="E89" s="35"/>
      <c r="F89" s="38">
        <v>4660</v>
      </c>
      <c r="G89" s="38">
        <v>2750</v>
      </c>
      <c r="H89" s="38">
        <v>792.51212092696028</v>
      </c>
      <c r="I89" s="37">
        <f>(F89-'Processing costs'!C89)*100/19900</f>
        <v>22.075376884422109</v>
      </c>
      <c r="J89" s="37">
        <f>((G89-103)-'Processing costs'!E89)*100/203600</f>
        <v>1.1031434184675835</v>
      </c>
      <c r="K89" s="37">
        <f>(G89-'Processing costs'!D89-H89*8.5%)*100/10600</f>
        <v>21.52487235586046</v>
      </c>
      <c r="L89" s="35"/>
      <c r="M89" s="38">
        <v>3600</v>
      </c>
      <c r="N89" s="38">
        <f>1099.23/1.1777</f>
        <v>933.37012821601434</v>
      </c>
      <c r="O89" s="38">
        <f t="shared" ref="O89:O91" si="65">F89-300</f>
        <v>4360</v>
      </c>
      <c r="P89" s="37">
        <f>(M89-'Processing costs'!G89)*100/9100</f>
        <v>35.637362637362635</v>
      </c>
      <c r="Q89" s="37">
        <f>(N89-'Processing costs'!H89)*100/16700</f>
        <v>3.3495217258443972</v>
      </c>
      <c r="R89" s="37">
        <f>(O89-'Processing costs'!I89)*100/205000</f>
        <v>1.9965853658536585</v>
      </c>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1:45" x14ac:dyDescent="0.3">
      <c r="A90" s="35"/>
      <c r="B90" s="41">
        <v>44562</v>
      </c>
      <c r="C90" s="34">
        <f>I90+J90+K90</f>
        <v>47.312971284830951</v>
      </c>
      <c r="D90" s="34">
        <f t="shared" si="64"/>
        <v>43.12206370095663</v>
      </c>
      <c r="E90" s="35"/>
      <c r="F90" s="36">
        <v>4860</v>
      </c>
      <c r="G90" s="36">
        <v>2910</v>
      </c>
      <c r="H90" s="36">
        <v>771.89315494006246</v>
      </c>
      <c r="I90" s="34">
        <f>(F90-'Processing costs'!C90)*100/19900</f>
        <v>23.08040201005025</v>
      </c>
      <c r="J90" s="34">
        <f>((G90-103)-'Processing costs'!E90)*100/203600</f>
        <v>1.1817288801571708</v>
      </c>
      <c r="K90" s="34">
        <f>(G90-'Processing costs'!D90-H90*8.5%)*100/10600</f>
        <v>23.050840394623535</v>
      </c>
      <c r="L90" s="35"/>
      <c r="M90" s="36">
        <v>3760</v>
      </c>
      <c r="N90" s="36">
        <f>1170.93/1.1941</f>
        <v>980.59626496943315</v>
      </c>
      <c r="O90" s="36">
        <f t="shared" si="65"/>
        <v>4560</v>
      </c>
      <c r="P90" s="34">
        <f>(M90-'Processing costs'!G90)*100/9100</f>
        <v>37.395604395604394</v>
      </c>
      <c r="Q90" s="34">
        <f>(N90-'Processing costs'!H90)*100/16700</f>
        <v>3.6323129638888214</v>
      </c>
      <c r="R90" s="34">
        <f>(O90-'Processing costs'!I90)*100/205000</f>
        <v>2.0941463414634147</v>
      </c>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1:45" x14ac:dyDescent="0.3">
      <c r="A91" s="35"/>
      <c r="B91" s="42">
        <v>44593</v>
      </c>
      <c r="C91" s="37">
        <f t="shared" ref="C91" si="66">I91+J91+K91</f>
        <v>48.856532642515788</v>
      </c>
      <c r="D91" s="37">
        <f t="shared" ref="D91:D92" si="67">P91+Q91+R91</f>
        <v>45.813163220043286</v>
      </c>
      <c r="E91" s="35"/>
      <c r="F91" s="38">
        <v>4930</v>
      </c>
      <c r="G91" s="38">
        <v>3030</v>
      </c>
      <c r="H91" s="38">
        <v>770.91047788752655</v>
      </c>
      <c r="I91" s="37">
        <f>(F91-'Processing costs'!C91)*100/19900</f>
        <v>23.4321608040201</v>
      </c>
      <c r="J91" s="37">
        <f>((G91-103)-'Processing costs'!E91)*100/203600</f>
        <v>1.2406679764243616</v>
      </c>
      <c r="K91" s="37">
        <f>(G91-'Processing costs'!D91-H91*8.5%)*100/10600</f>
        <v>24.183703862071322</v>
      </c>
      <c r="L91" s="35"/>
      <c r="M91" s="38">
        <v>3960</v>
      </c>
      <c r="N91" s="38">
        <f>1262.28/1.1939</f>
        <v>1057.2744785995478</v>
      </c>
      <c r="O91" s="38">
        <f t="shared" si="65"/>
        <v>4630</v>
      </c>
      <c r="P91" s="37">
        <f>(M91-'Processing costs'!G91)*100/9100</f>
        <v>39.593406593406591</v>
      </c>
      <c r="Q91" s="37">
        <f>(N91-'Processing costs'!H91)*100/16700</f>
        <v>4.0914639437098677</v>
      </c>
      <c r="R91" s="37">
        <f>(O91-'Processing costs'!I91)*100/205000</f>
        <v>2.1282926829268294</v>
      </c>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1:45" x14ac:dyDescent="0.3">
      <c r="A92" s="35"/>
      <c r="B92" s="41">
        <v>44621</v>
      </c>
      <c r="C92" s="34">
        <f>I92+J92+K92</f>
        <v>54.478438413681843</v>
      </c>
      <c r="D92" s="34">
        <f t="shared" si="67"/>
        <v>49.947518389966262</v>
      </c>
      <c r="E92" s="35"/>
      <c r="F92" s="36">
        <v>5460</v>
      </c>
      <c r="G92" s="36">
        <v>3330</v>
      </c>
      <c r="H92" s="36">
        <v>794.53879031280007</v>
      </c>
      <c r="I92" s="34">
        <f>(F92-'Processing costs'!C92)*100/19900</f>
        <v>26.095477386934672</v>
      </c>
      <c r="J92" s="34">
        <f>((G92-103)-'Processing costs'!E92)*100/203600</f>
        <v>1.388015717092338</v>
      </c>
      <c r="K92" s="34">
        <f>(G92-'Processing costs'!D92-H92*8.5%)*100/10600</f>
        <v>26.994945309654831</v>
      </c>
      <c r="L92" s="35"/>
      <c r="M92" s="36">
        <v>4280</v>
      </c>
      <c r="N92" s="36">
        <f>1337.5/1.1971</f>
        <v>1117.283434967839</v>
      </c>
      <c r="O92" s="36">
        <f t="shared" ref="O92:O94" si="68">F92-300</f>
        <v>5160</v>
      </c>
      <c r="P92" s="34">
        <f>(M92-'Processing costs'!G92)*100/9100</f>
        <v>43.109890109890109</v>
      </c>
      <c r="Q92" s="34">
        <f>(N92-'Processing costs'!H92)*100/16700</f>
        <v>4.4507990117834666</v>
      </c>
      <c r="R92" s="34">
        <f>(O92-'Processing costs'!I92)*100/205000</f>
        <v>2.3868292682926828</v>
      </c>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1:45" x14ac:dyDescent="0.3">
      <c r="A93" s="35" t="s">
        <v>53</v>
      </c>
      <c r="B93" s="42">
        <v>44652</v>
      </c>
      <c r="C93" s="37">
        <f t="shared" ref="C93" si="69">I93+J93+K93</f>
        <v>56.324652520598292</v>
      </c>
      <c r="D93" s="37">
        <f t="shared" ref="D93:D94" si="70">P93+Q93+R93</f>
        <v>51.976834340923993</v>
      </c>
      <c r="E93" s="35"/>
      <c r="F93" s="38">
        <v>5890</v>
      </c>
      <c r="G93" s="38">
        <v>3430</v>
      </c>
      <c r="H93" s="38">
        <v>831.21360678630697</v>
      </c>
      <c r="I93" s="37">
        <f>(F93-'Processing costs'!C93)*100/19900</f>
        <v>28.070351758793969</v>
      </c>
      <c r="J93" s="37">
        <f>((G93-103)-'Processing costs'!E93)*100/203600</f>
        <v>1.3831041257367387</v>
      </c>
      <c r="K93" s="37">
        <f>(G93-'Processing costs'!D93-H93*8.5%)*100/10600</f>
        <v>26.871196636067587</v>
      </c>
      <c r="L93" s="35"/>
      <c r="M93" s="38">
        <v>4520</v>
      </c>
      <c r="N93" s="38">
        <f>1425.6/1.1955</f>
        <v>1192.4717691342535</v>
      </c>
      <c r="O93" s="38">
        <f t="shared" si="68"/>
        <v>5590</v>
      </c>
      <c r="P93" s="37">
        <f>(M93-'Processing costs'!G93)*100/9100</f>
        <v>45.263736263736263</v>
      </c>
      <c r="Q93" s="37">
        <f>(N93-'Processing costs'!H93)*100/16700</f>
        <v>4.1345614918218763</v>
      </c>
      <c r="R93" s="37">
        <f>(O93-'Processing costs'!I93)*100/205000</f>
        <v>2.5785365853658537</v>
      </c>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1:45" x14ac:dyDescent="0.3">
      <c r="A94" s="35"/>
      <c r="B94" s="41">
        <v>44682</v>
      </c>
      <c r="C94" s="34">
        <f>I94+J94+K94</f>
        <v>55.095014539711784</v>
      </c>
      <c r="D94" s="34">
        <f t="shared" si="70"/>
        <v>53.144388735429217</v>
      </c>
      <c r="E94" s="35"/>
      <c r="F94" s="36">
        <v>5890</v>
      </c>
      <c r="G94" s="36">
        <v>3310</v>
      </c>
      <c r="H94" s="36">
        <v>879.3792746645164</v>
      </c>
      <c r="I94" s="34">
        <f>(F94-'Processing costs'!C94)*100/19900</f>
        <v>28.070351758793969</v>
      </c>
      <c r="J94" s="34">
        <f>((G94-103)-'Processing costs'!E94)*100/203600</f>
        <v>1.3241650294695482</v>
      </c>
      <c r="K94" s="34">
        <f>(G94-'Processing costs'!D94-H94*8.5%)*100/10600</f>
        <v>25.700497751448268</v>
      </c>
      <c r="L94" s="35"/>
      <c r="M94" s="36">
        <v>4650</v>
      </c>
      <c r="N94" s="36">
        <f>1356.37/1.1806</f>
        <v>1148.8819244451972</v>
      </c>
      <c r="O94" s="36">
        <f t="shared" si="68"/>
        <v>5590</v>
      </c>
      <c r="P94" s="34">
        <f>(M94-'Processing costs'!G94)*100/9100</f>
        <v>46.692307692307693</v>
      </c>
      <c r="Q94" s="34">
        <f>(N94-'Processing costs'!H94)*100/16700</f>
        <v>3.8735444577556719</v>
      </c>
      <c r="R94" s="34">
        <f>(O94-'Processing costs'!I94)*100/205000</f>
        <v>2.5785365853658537</v>
      </c>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1:45" x14ac:dyDescent="0.3">
      <c r="A95" s="35"/>
      <c r="B95" s="42">
        <v>44713</v>
      </c>
      <c r="C95" s="37">
        <f t="shared" ref="C95" si="71">I95+J95+K95</f>
        <v>56.434671269515398</v>
      </c>
      <c r="D95" s="37">
        <f t="shared" ref="D95:D96" si="72">P95+Q95+R95</f>
        <v>54.09319563294936</v>
      </c>
      <c r="E95" s="35"/>
      <c r="F95" s="38">
        <v>6020</v>
      </c>
      <c r="G95" s="38">
        <v>3380</v>
      </c>
      <c r="H95" s="38">
        <v>889.81478739923182</v>
      </c>
      <c r="I95" s="37">
        <f>(F95-'Processing costs'!C95)*100/19900</f>
        <v>28.723618090452263</v>
      </c>
      <c r="J95" s="37">
        <f>((G95-103)-'Processing costs'!E95)*100/203600</f>
        <v>1.3585461689587426</v>
      </c>
      <c r="K95" s="37">
        <f>(G95-'Processing costs'!D95-H95*8.5%)*100/10600</f>
        <v>26.352507010104393</v>
      </c>
      <c r="L95" s="35"/>
      <c r="M95" s="38">
        <v>4740</v>
      </c>
      <c r="N95" s="38">
        <f>1323.38/1.1695</f>
        <v>1131.577597263788</v>
      </c>
      <c r="O95" s="38">
        <f t="shared" ref="O95:O96" si="73">F95-300</f>
        <v>5720</v>
      </c>
      <c r="P95" s="37">
        <f>(M95-'Processing costs'!G95)*100/9100</f>
        <v>47.681318681318679</v>
      </c>
      <c r="Q95" s="37">
        <f>(N95-'Processing costs'!H95)*100/16700</f>
        <v>3.7699257321184909</v>
      </c>
      <c r="R95" s="37">
        <f>(O95-'Processing costs'!I95)*100/205000</f>
        <v>2.6419512195121952</v>
      </c>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1:45" x14ac:dyDescent="0.3">
      <c r="A96" s="35" t="s">
        <v>53</v>
      </c>
      <c r="B96" s="41">
        <v>44743</v>
      </c>
      <c r="C96" s="34">
        <f>I96+J96+K96</f>
        <v>54.745897958893764</v>
      </c>
      <c r="D96" s="34">
        <f t="shared" si="72"/>
        <v>53.00591183379251</v>
      </c>
      <c r="E96" s="35"/>
      <c r="F96" s="36">
        <v>5940</v>
      </c>
      <c r="G96" s="36">
        <v>3290</v>
      </c>
      <c r="H96" s="36">
        <v>940.28613931129553</v>
      </c>
      <c r="I96" s="34">
        <f>(F96-'Processing costs'!C96)*100/19900</f>
        <v>28.266331658291456</v>
      </c>
      <c r="J96" s="34">
        <f>((G96-103)-'Processing costs'!E96)*100/203600</f>
        <v>1.2996070726915521</v>
      </c>
      <c r="K96" s="34">
        <f>(G96-'Processing costs'!D96-H96*8.5%)*100/10600</f>
        <v>25.179959227910754</v>
      </c>
      <c r="L96" s="35"/>
      <c r="M96" s="36">
        <v>4740</v>
      </c>
      <c r="N96" s="36">
        <f>1183.23/1.1712</f>
        <v>1010.2715163934427</v>
      </c>
      <c r="O96" s="36">
        <f t="shared" si="73"/>
        <v>5640</v>
      </c>
      <c r="P96" s="34">
        <f>(M96-'Processing costs'!G96)*100/9100</f>
        <v>47.53846153846154</v>
      </c>
      <c r="Q96" s="34">
        <f>(N96-'Processing costs'!H96)*100/16700</f>
        <v>2.8698893197212136</v>
      </c>
      <c r="R96" s="34">
        <f>(O96-'Processing costs'!I96)*100/205000</f>
        <v>2.5975609756097562</v>
      </c>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1:45" x14ac:dyDescent="0.3">
      <c r="A97" s="35"/>
      <c r="B97" s="42">
        <v>44774</v>
      </c>
      <c r="C97" s="37">
        <f t="shared" ref="C97" si="74">I97+J97+K97</f>
        <v>51.318416184899505</v>
      </c>
      <c r="D97" s="37">
        <f t="shared" ref="D97:D98" si="75">P97+Q97+R97</f>
        <v>52.058310318145416</v>
      </c>
      <c r="E97" s="35"/>
      <c r="F97" s="38">
        <v>5850</v>
      </c>
      <c r="G97" s="38">
        <v>2990</v>
      </c>
      <c r="H97" s="38">
        <v>937.39801037157076</v>
      </c>
      <c r="I97" s="37">
        <f>(F97-'Processing costs'!C97)*100/19900</f>
        <v>27.814070351758794</v>
      </c>
      <c r="J97" s="37">
        <f>((G97-103)-'Processing costs'!E97)*100/203600</f>
        <v>1.1522593320235757</v>
      </c>
      <c r="K97" s="37">
        <f>(G97-'Processing costs'!D97-H97*8.5%)*100/10600</f>
        <v>22.352086501117135</v>
      </c>
      <c r="L97" s="35"/>
      <c r="M97" s="38">
        <v>4700</v>
      </c>
      <c r="N97" s="38">
        <f>1107/1.1868</f>
        <v>932.76036400404439</v>
      </c>
      <c r="O97" s="38">
        <f t="shared" ref="O97:O98" si="76">F97-300</f>
        <v>5550</v>
      </c>
      <c r="P97" s="37">
        <f>(M97-'Processing costs'!G97)*100/9100</f>
        <v>47.098901098901102</v>
      </c>
      <c r="Q97" s="37">
        <f>(N97-'Processing costs'!H97)*100/16700</f>
        <v>2.4057506826589483</v>
      </c>
      <c r="R97" s="37">
        <f>(O97-'Processing costs'!I97)*100/205000</f>
        <v>2.5536585365853659</v>
      </c>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1:45" x14ac:dyDescent="0.3">
      <c r="A98" s="35"/>
      <c r="B98" s="41">
        <v>44805</v>
      </c>
      <c r="C98" s="34">
        <f>I98+J98+K98</f>
        <v>53.131965521685999</v>
      </c>
      <c r="D98" s="34">
        <f t="shared" si="75"/>
        <v>53.919313423569214</v>
      </c>
      <c r="E98" s="35"/>
      <c r="F98" s="36">
        <v>5980</v>
      </c>
      <c r="G98" s="36">
        <v>3110</v>
      </c>
      <c r="H98" s="36">
        <v>975.72207696843327</v>
      </c>
      <c r="I98" s="34">
        <f>(F98-'Processing costs'!C98)*100/19900</f>
        <v>28.467336683417084</v>
      </c>
      <c r="J98" s="34">
        <f>((G98-103)-'Processing costs'!E98)*100/203600</f>
        <v>1.2111984282907662</v>
      </c>
      <c r="K98" s="34">
        <f>(G98-'Processing costs'!D98-H98*8.5%)*100/10600</f>
        <v>23.453430409978143</v>
      </c>
      <c r="L98" s="35"/>
      <c r="M98" s="36">
        <v>4860</v>
      </c>
      <c r="N98" s="36">
        <f>1090/1.1604</f>
        <v>939.33126508100645</v>
      </c>
      <c r="O98" s="36">
        <f t="shared" si="76"/>
        <v>5680</v>
      </c>
      <c r="P98" s="34">
        <f>(M98-'Processing costs'!G98)*100/9100</f>
        <v>48.857142857142854</v>
      </c>
      <c r="Q98" s="34">
        <f>(N98-'Processing costs'!H98)*100/16700</f>
        <v>2.4450973956946491</v>
      </c>
      <c r="R98" s="34">
        <f>(O98-'Processing costs'!I98)*100/205000</f>
        <v>2.6170731707317074</v>
      </c>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1:45" x14ac:dyDescent="0.3">
      <c r="A99" s="35" t="s">
        <v>53</v>
      </c>
      <c r="B99" s="42">
        <v>44835</v>
      </c>
      <c r="C99" s="37">
        <f t="shared" ref="C99" si="77">I99+J99+K99</f>
        <v>51.270759401147288</v>
      </c>
      <c r="D99" s="37">
        <f t="shared" ref="D99:D100" si="78">P99+Q99+R99</f>
        <v>53.952721214168292</v>
      </c>
      <c r="E99" s="35"/>
      <c r="F99" s="38">
        <v>5860</v>
      </c>
      <c r="G99" s="38">
        <v>2980</v>
      </c>
      <c r="H99" s="38">
        <v>1040.8512581199436</v>
      </c>
      <c r="I99" s="37">
        <f>(F99-'Processing costs'!C99)*100/19900</f>
        <v>27.859296482412059</v>
      </c>
      <c r="J99" s="37">
        <f>((G99-103)-'Processing costs'!E99)*100/203600</f>
        <v>1.1517681728880158</v>
      </c>
      <c r="K99" s="37">
        <f>(G99-'Processing costs'!D99-H99*8.5%)*100/10600</f>
        <v>22.259694745847213</v>
      </c>
      <c r="L99" s="35"/>
      <c r="M99" s="38">
        <v>4860</v>
      </c>
      <c r="N99" s="38">
        <f>1076/1.1397</f>
        <v>944.10809862244457</v>
      </c>
      <c r="O99" s="38">
        <f t="shared" ref="O99:O100" si="79">F99-300</f>
        <v>5560</v>
      </c>
      <c r="P99" s="37">
        <f>(M99-'Processing costs'!G99)*100/9100</f>
        <v>48.81318681318681</v>
      </c>
      <c r="Q99" s="37">
        <f>(N99-'Processing costs'!H99)*100/16700</f>
        <v>2.5814856204936802</v>
      </c>
      <c r="R99" s="37">
        <f>(O99-'Processing costs'!I99)*100/205000</f>
        <v>2.5580487804878049</v>
      </c>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1:45" x14ac:dyDescent="0.3">
      <c r="A100" s="35"/>
      <c r="B100" s="41">
        <v>44866</v>
      </c>
      <c r="C100" s="34">
        <f>I100+J100+K100</f>
        <v>44.689592205857679</v>
      </c>
      <c r="D100" s="34">
        <f t="shared" si="78"/>
        <v>52.294021384611995</v>
      </c>
      <c r="E100" s="35"/>
      <c r="F100" s="36">
        <v>5280</v>
      </c>
      <c r="G100" s="36">
        <v>2610</v>
      </c>
      <c r="H100" s="36">
        <v>1033.742290895809</v>
      </c>
      <c r="I100" s="34">
        <f>(F100-'Processing costs'!C100)*100/19900</f>
        <v>24.944723618090453</v>
      </c>
      <c r="J100" s="34">
        <f>((G100-103)-'Processing costs'!E100)*100/203600</f>
        <v>0.97003929273084477</v>
      </c>
      <c r="K100" s="34">
        <f>(G100-'Processing costs'!D100-H100*8.5%)*100/10600</f>
        <v>18.77482929503638</v>
      </c>
      <c r="L100" s="35"/>
      <c r="M100" s="36">
        <v>4760</v>
      </c>
      <c r="N100" s="36">
        <f>1033/1.1505</f>
        <v>897.87049109083</v>
      </c>
      <c r="O100" s="36">
        <f t="shared" si="79"/>
        <v>4980</v>
      </c>
      <c r="P100" s="34">
        <f>(M100-'Processing costs'!G100)*100/9100</f>
        <v>47.714285714285715</v>
      </c>
      <c r="Q100" s="34">
        <f>(N100-'Processing costs'!H100)*100/16700</f>
        <v>2.3046137191067668</v>
      </c>
      <c r="R100" s="34">
        <f>(O100-'Processing costs'!I100)*100/205000</f>
        <v>2.275121951219512</v>
      </c>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1:45" x14ac:dyDescent="0.3">
      <c r="A101" s="35"/>
      <c r="B101" s="42">
        <v>44896</v>
      </c>
      <c r="C101" s="37">
        <f t="shared" ref="C101" si="80">I101+J101+K101</f>
        <v>39.630332023919159</v>
      </c>
      <c r="D101" s="37">
        <f t="shared" ref="D101:D102" si="81">P101+Q101+R101</f>
        <v>47.848012247440799</v>
      </c>
      <c r="E101" s="35"/>
      <c r="F101" s="38">
        <v>4620</v>
      </c>
      <c r="G101" s="38">
        <v>2430</v>
      </c>
      <c r="H101" s="38">
        <v>979.06551482846487</v>
      </c>
      <c r="I101" s="37">
        <f>(F101-'Processing costs'!C101)*100/19900</f>
        <v>21.628140703517587</v>
      </c>
      <c r="J101" s="37">
        <f>((G101-103)-'Processing costs'!E101)*100/203600</f>
        <v>0.88163064833005889</v>
      </c>
      <c r="K101" s="37">
        <f>(G101-'Processing costs'!D101-H101*8.5%)*100/10600</f>
        <v>17.120560672071512</v>
      </c>
      <c r="L101" s="35"/>
      <c r="M101" s="38">
        <v>4430</v>
      </c>
      <c r="N101" s="38">
        <f>943/1.1574</f>
        <v>814.7572144461725</v>
      </c>
      <c r="O101" s="38">
        <f t="shared" ref="O101" si="82">F101-300</f>
        <v>4320</v>
      </c>
      <c r="P101" s="37">
        <f>(M101-'Processing costs'!G101)*100/9100</f>
        <v>44.087912087912088</v>
      </c>
      <c r="Q101" s="37">
        <f>(N101-'Processing costs'!H101)*100/16700</f>
        <v>1.8069294278213923</v>
      </c>
      <c r="R101" s="37">
        <f>(O101-'Processing costs'!I101)*100/205000</f>
        <v>1.953170731707317</v>
      </c>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1:45" x14ac:dyDescent="0.3">
      <c r="A102" s="87" t="s">
        <v>53</v>
      </c>
      <c r="B102" s="41">
        <v>44927</v>
      </c>
      <c r="C102" s="34">
        <f t="shared" ref="C102:C107" si="83">I102+J102+K102</f>
        <v>35.087981384810156</v>
      </c>
      <c r="D102" s="34">
        <f t="shared" si="81"/>
        <v>44.454500055621089</v>
      </c>
      <c r="E102" s="35"/>
      <c r="F102" s="36">
        <v>4120</v>
      </c>
      <c r="G102" s="36">
        <v>2270</v>
      </c>
      <c r="H102" s="36">
        <v>971.90992759087555</v>
      </c>
      <c r="I102" s="34">
        <f>(F102-'Processing costs'!C102)*100/19900</f>
        <v>19.045226130653266</v>
      </c>
      <c r="J102" s="34">
        <f>((G102-103)-'Processing costs'!E102)*100/203600</f>
        <v>0.78438113948919452</v>
      </c>
      <c r="K102" s="34">
        <f>(G102-'Processing costs'!D102-H102*8.5%)*100/10600</f>
        <v>15.258374114667696</v>
      </c>
      <c r="L102" s="35"/>
      <c r="M102" s="36">
        <v>4200</v>
      </c>
      <c r="N102" s="36">
        <f>878.3/1.133</f>
        <v>775.19858781994697</v>
      </c>
      <c r="O102" s="36">
        <f t="shared" ref="O102:O107" si="84">F102-300</f>
        <v>3820</v>
      </c>
      <c r="P102" s="34">
        <f>(M102-'Processing costs'!G102)*100/9100</f>
        <v>41.373626373626372</v>
      </c>
      <c r="Q102" s="34">
        <f>(N102-'Processing costs'!H102)*100/16700</f>
        <v>1.3784346576044728</v>
      </c>
      <c r="R102" s="34">
        <f>(O102-'Processing costs'!I102)*100/205000</f>
        <v>1.7024390243902439</v>
      </c>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1:45" x14ac:dyDescent="0.3">
      <c r="A103" s="87"/>
      <c r="B103" s="42">
        <v>44958</v>
      </c>
      <c r="C103" s="37">
        <f t="shared" si="83"/>
        <v>33.469053916123642</v>
      </c>
      <c r="D103" s="37">
        <f t="shared" ref="D103:D104" si="85">P103+Q103+R103</f>
        <v>38.255952055585503</v>
      </c>
      <c r="E103" s="35"/>
      <c r="F103" s="38">
        <v>3920</v>
      </c>
      <c r="G103" s="38">
        <v>2200</v>
      </c>
      <c r="H103" s="38">
        <v>871.0775461594925</v>
      </c>
      <c r="I103" s="37">
        <f>(F103-'Processing costs'!C103)*100/19900</f>
        <v>18.040201005025125</v>
      </c>
      <c r="J103" s="37">
        <f>((G103-103)-'Processing costs'!E103)*100/203600</f>
        <v>0.75</v>
      </c>
      <c r="K103" s="37">
        <f>(G103-'Processing costs'!D103-H103*8.5%)*100/10600</f>
        <v>14.678852911098518</v>
      </c>
      <c r="L103" s="35"/>
      <c r="M103" s="38">
        <v>3680</v>
      </c>
      <c r="N103" s="38">
        <f>803/1.13</f>
        <v>710.6194690265487</v>
      </c>
      <c r="O103" s="38">
        <f t="shared" si="84"/>
        <v>3620</v>
      </c>
      <c r="P103" s="37">
        <f>(M103-'Processing costs'!G103)*100/9100</f>
        <v>35.659340659340657</v>
      </c>
      <c r="Q103" s="37">
        <f>(N103-'Processing costs'!H103)*100/16700</f>
        <v>0.99173334746436337</v>
      </c>
      <c r="R103" s="37">
        <f>(O103-'Processing costs'!I103)*100/205000</f>
        <v>1.6048780487804879</v>
      </c>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1:45" x14ac:dyDescent="0.3">
      <c r="A104" s="87"/>
      <c r="B104" s="41">
        <v>44986</v>
      </c>
      <c r="C104" s="34">
        <f t="shared" si="83"/>
        <v>34.551080356493181</v>
      </c>
      <c r="D104" s="34">
        <f t="shared" si="85"/>
        <v>38.082119216504104</v>
      </c>
      <c r="E104" s="35"/>
      <c r="F104" s="36">
        <v>4060</v>
      </c>
      <c r="G104" s="36">
        <v>2230</v>
      </c>
      <c r="H104" s="36">
        <v>770.37104843617317</v>
      </c>
      <c r="I104" s="34">
        <f>(F104-'Processing costs'!C104)*100/19900</f>
        <v>18.743718592964825</v>
      </c>
      <c r="J104" s="34">
        <f>((G104-103)-'Processing costs'!E104)*100/203600</f>
        <v>0.76473477406679768</v>
      </c>
      <c r="K104" s="34">
        <f>(G104-'Processing costs'!D104-H104*8.5%)*100/10600</f>
        <v>15.042626989461558</v>
      </c>
      <c r="L104" s="35"/>
      <c r="M104" s="36">
        <v>3670</v>
      </c>
      <c r="N104" s="36">
        <f>780.8/1.134</f>
        <v>688.53615520282187</v>
      </c>
      <c r="O104" s="36">
        <f t="shared" si="84"/>
        <v>3760</v>
      </c>
      <c r="P104" s="34">
        <f>(M104-'Processing costs'!G104)*100/9100</f>
        <v>35.549450549450547</v>
      </c>
      <c r="Q104" s="34">
        <f>(N104-'Processing costs'!H104)*100/16700</f>
        <v>0.85949793534623875</v>
      </c>
      <c r="R104" s="34">
        <f>(O104-'Processing costs'!I104)*100/205000</f>
        <v>1.673170731707317</v>
      </c>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1:45" x14ac:dyDescent="0.3">
      <c r="A105" s="87" t="s">
        <v>53</v>
      </c>
      <c r="B105" s="42">
        <v>45017</v>
      </c>
      <c r="C105" s="37">
        <f t="shared" si="83"/>
        <v>31.807534316104643</v>
      </c>
      <c r="D105" s="37">
        <f t="shared" ref="D105" si="86">P105+Q105+R105</f>
        <v>36.422202881826806</v>
      </c>
      <c r="E105" s="35"/>
      <c r="F105" s="38">
        <v>3920</v>
      </c>
      <c r="G105" s="38">
        <v>2020</v>
      </c>
      <c r="H105" s="38">
        <v>646.88366230425095</v>
      </c>
      <c r="I105" s="37">
        <f>(F105-'Processing costs'!C105)*100/19900</f>
        <v>18.025125628140703</v>
      </c>
      <c r="J105" s="37">
        <f>((G105-103)-'Processing costs'!E105)*100/203600</f>
        <v>0.65962671905697445</v>
      </c>
      <c r="K105" s="37">
        <f>(G105-'Processing costs'!D105-H105*8.5%)*100/10600</f>
        <v>13.122781968906967</v>
      </c>
      <c r="L105" s="35"/>
      <c r="M105" s="38">
        <v>3550</v>
      </c>
      <c r="N105" s="38">
        <f>754.73/1.136</f>
        <v>664.37500000000011</v>
      </c>
      <c r="O105" s="38">
        <f t="shared" si="84"/>
        <v>3620</v>
      </c>
      <c r="P105" s="37">
        <f>(M105-'Processing costs'!G105)*100/9100</f>
        <v>34.175824175824175</v>
      </c>
      <c r="Q105" s="37">
        <f>(N105-'Processing costs'!H105)*100/16700</f>
        <v>0.64296407185628812</v>
      </c>
      <c r="R105" s="37">
        <f>(O105-'Processing costs'!I105)*100/205000</f>
        <v>1.6034146341463416</v>
      </c>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1:45" x14ac:dyDescent="0.3">
      <c r="A106" s="35"/>
      <c r="B106" s="41">
        <v>45047</v>
      </c>
      <c r="C106" s="34">
        <f t="shared" si="83"/>
        <v>32.013329836121017</v>
      </c>
      <c r="D106" s="34">
        <f t="shared" ref="D106:D111" si="87">P106+Q106+R106</f>
        <v>36.249297350892725</v>
      </c>
      <c r="E106" s="35"/>
      <c r="F106" s="36">
        <v>3910</v>
      </c>
      <c r="G106" s="36">
        <v>2040</v>
      </c>
      <c r="H106" s="36">
        <v>575.12247500804892</v>
      </c>
      <c r="I106" s="34">
        <f>(F106-'Processing costs'!C106)*100/19900</f>
        <v>17.974874371859297</v>
      </c>
      <c r="J106" s="34">
        <f>((G106-103)-'Processing costs'!E106)*100/203600</f>
        <v>0.66944990176817287</v>
      </c>
      <c r="K106" s="34">
        <f>(G106-'Processing costs'!D106-H106*8.5%)*100/10600</f>
        <v>13.369005562493546</v>
      </c>
      <c r="L106" s="35"/>
      <c r="M106" s="36">
        <v>3550</v>
      </c>
      <c r="N106" s="36">
        <f>728.58/1.145</f>
        <v>636.31441048034935</v>
      </c>
      <c r="O106" s="36">
        <f t="shared" si="84"/>
        <v>3610</v>
      </c>
      <c r="P106" s="34">
        <f>(M106-'Processing costs'!G106)*100/9100</f>
        <v>34.175824175824175</v>
      </c>
      <c r="Q106" s="34">
        <f>(N106-'Processing costs'!H106)*100/16700</f>
        <v>0.4749365897026907</v>
      </c>
      <c r="R106" s="34">
        <f>(O106-'Processing costs'!I106)*100/205000</f>
        <v>1.5985365853658537</v>
      </c>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1:45" x14ac:dyDescent="0.3">
      <c r="B107" s="42">
        <v>45078</v>
      </c>
      <c r="C107" s="37">
        <f t="shared" si="83"/>
        <v>32.657242412250305</v>
      </c>
      <c r="D107" s="37">
        <f t="shared" si="87"/>
        <v>36.316070067241014</v>
      </c>
      <c r="E107" s="35"/>
      <c r="F107" s="38">
        <v>3990</v>
      </c>
      <c r="G107" s="38">
        <v>2060</v>
      </c>
      <c r="H107" s="38">
        <v>521</v>
      </c>
      <c r="I107" s="37">
        <f>(F107-'Processing costs'!C107)*100/19900</f>
        <v>18.376884422110553</v>
      </c>
      <c r="J107" s="37">
        <f>((G107-103)-'Processing costs'!E107)*100/203600</f>
        <v>0.67927308447937129</v>
      </c>
      <c r="K107" s="37">
        <f>(G107-'Processing costs'!D107-H107*8.5%)*100/10600</f>
        <v>13.601084905660377</v>
      </c>
      <c r="L107" s="35"/>
      <c r="M107" s="38">
        <v>3560</v>
      </c>
      <c r="N107" s="38">
        <f>724.08/1.163</f>
        <v>622.59673258813416</v>
      </c>
      <c r="O107" s="38">
        <f t="shared" si="84"/>
        <v>3690</v>
      </c>
      <c r="P107" s="37">
        <f>(M107-'Processing costs'!G107)*100/9100</f>
        <v>34.285714285714285</v>
      </c>
      <c r="Q107" s="37">
        <f>(N107-'Processing costs'!H107)*100/16700</f>
        <v>0.39279480591697102</v>
      </c>
      <c r="R107" s="37">
        <f>(O107-'Processing costs'!I107)*100/205000</f>
        <v>1.637560975609756</v>
      </c>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1:45" x14ac:dyDescent="0.3">
      <c r="A108" s="87" t="s">
        <v>53</v>
      </c>
      <c r="B108" s="41">
        <v>45108</v>
      </c>
      <c r="C108" s="34">
        <f t="shared" ref="C108:C109" si="88">I108+J108+K108</f>
        <v>29.664590893359183</v>
      </c>
      <c r="D108" s="34">
        <f t="shared" si="87"/>
        <v>34.602837395279927</v>
      </c>
      <c r="E108" s="35"/>
      <c r="F108" s="36">
        <v>3790</v>
      </c>
      <c r="G108" s="36">
        <v>1900</v>
      </c>
      <c r="H108" s="36">
        <v>455</v>
      </c>
      <c r="I108" s="34">
        <f>(F108-'Processing costs'!C108)*100/19900</f>
        <v>17.2964824120603</v>
      </c>
      <c r="J108" s="34">
        <f>((G108-103)-'Processing costs'!E108)*100/203600</f>
        <v>0.58202357563850693</v>
      </c>
      <c r="K108" s="34">
        <f>(G108-'Processing costs'!D108-H108*8.5%)*100/10600</f>
        <v>11.786084905660378</v>
      </c>
      <c r="L108" s="35"/>
      <c r="M108" s="36">
        <v>3470</v>
      </c>
      <c r="N108" s="36">
        <f>689.32/1.164</f>
        <v>592.19931271477674</v>
      </c>
      <c r="O108" s="36">
        <f t="shared" ref="O108:O113" si="89">F108-300</f>
        <v>3490</v>
      </c>
      <c r="P108" s="34">
        <f>(M108-'Processing costs'!G108)*100/9100</f>
        <v>33.098901098901102</v>
      </c>
      <c r="Q108" s="34">
        <f>(N108-'Processing costs'!H108)*100/16700</f>
        <v>-2.8746630450438692E-2</v>
      </c>
      <c r="R108" s="34">
        <f>(O108-'Processing costs'!I108)*100/205000</f>
        <v>1.5326829268292683</v>
      </c>
    </row>
    <row r="109" spans="1:45" x14ac:dyDescent="0.3">
      <c r="A109" s="87"/>
      <c r="B109" s="42">
        <v>45139</v>
      </c>
      <c r="C109" s="37">
        <f t="shared" si="88"/>
        <v>28.612363457108355</v>
      </c>
      <c r="D109" s="37">
        <f t="shared" si="87"/>
        <v>32.896049748160678</v>
      </c>
      <c r="E109" s="35"/>
      <c r="F109" s="38">
        <v>3680</v>
      </c>
      <c r="G109" s="38">
        <v>1850</v>
      </c>
      <c r="H109" s="38">
        <v>459</v>
      </c>
      <c r="I109" s="37">
        <f>(F109-'Processing costs'!C109)*100/19900</f>
        <v>16.743718592964825</v>
      </c>
      <c r="J109" s="37">
        <f>((G109-103)-'Processing costs'!E109)*100/203600</f>
        <v>0.55746561886051083</v>
      </c>
      <c r="K109" s="37">
        <f>(G109-'Processing costs'!D109-H109*8.5%)*100/10600</f>
        <v>11.311179245283018</v>
      </c>
      <c r="L109" s="35"/>
      <c r="M109" s="38">
        <v>3330</v>
      </c>
      <c r="N109" s="38">
        <f>667.03/1.164</f>
        <v>573.04982817869416</v>
      </c>
      <c r="O109" s="38">
        <f t="shared" si="89"/>
        <v>3380</v>
      </c>
      <c r="P109" s="37">
        <f>(M109-'Processing costs'!G109)*100/9100</f>
        <v>31.560439560439562</v>
      </c>
      <c r="Q109" s="37">
        <f>(N109-'Processing costs'!H109)*100/16700</f>
        <v>-0.1434142025227895</v>
      </c>
      <c r="R109" s="37">
        <f>(O109-'Processing costs'!I109)*100/205000</f>
        <v>1.4790243902439024</v>
      </c>
    </row>
    <row r="110" spans="1:45" x14ac:dyDescent="0.3">
      <c r="B110" s="41">
        <v>45170</v>
      </c>
      <c r="C110" s="34">
        <f t="shared" ref="C110" si="90">I110+J110+K110</f>
        <v>28.808642024855342</v>
      </c>
      <c r="D110" s="34">
        <f t="shared" si="87"/>
        <v>32.16830663474726</v>
      </c>
      <c r="E110" s="35"/>
      <c r="F110" s="36">
        <v>3710</v>
      </c>
      <c r="G110" s="36">
        <v>1860</v>
      </c>
      <c r="H110" s="36">
        <v>526</v>
      </c>
      <c r="I110" s="34">
        <f>(F110-'Processing costs'!C110)*100/19900</f>
        <v>16.894472361809044</v>
      </c>
      <c r="J110" s="34">
        <f>((G110-103)-'Processing costs'!E110)*100/203600</f>
        <v>0.56237721021610998</v>
      </c>
      <c r="K110" s="34">
        <f>(G110-'Processing costs'!D110-H110*8.5%)*100/10600</f>
        <v>11.351792452830189</v>
      </c>
      <c r="L110" s="35"/>
      <c r="M110" s="36">
        <v>3260</v>
      </c>
      <c r="N110" s="36">
        <f>672.25/1.164</f>
        <v>577.53436426116843</v>
      </c>
      <c r="O110" s="36">
        <f t="shared" si="89"/>
        <v>3410</v>
      </c>
      <c r="P110" s="34">
        <f>(M110-'Processing costs'!G110)*100/9100</f>
        <v>30.791208791208792</v>
      </c>
      <c r="Q110" s="34">
        <f>(N110-'Processing costs'!H110)*100/16700</f>
        <v>-0.11656069304689561</v>
      </c>
      <c r="R110" s="34">
        <f>(O110-'Processing costs'!I110)*100/205000</f>
        <v>1.4936585365853658</v>
      </c>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1:45" x14ac:dyDescent="0.3">
      <c r="A111" s="87" t="s">
        <v>53</v>
      </c>
      <c r="B111" s="42">
        <v>45200</v>
      </c>
      <c r="C111" s="37">
        <f>I111+J111+K111</f>
        <v>34.51961458746824</v>
      </c>
      <c r="D111" s="37">
        <f t="shared" si="87"/>
        <v>33.283651684056096</v>
      </c>
      <c r="E111" s="35"/>
      <c r="F111" s="38">
        <v>4070</v>
      </c>
      <c r="G111" s="38">
        <v>2220</v>
      </c>
      <c r="H111" s="38">
        <v>537</v>
      </c>
      <c r="I111" s="37">
        <f>(F111-'Processing costs'!C111)*100/19900</f>
        <v>18.723618090452263</v>
      </c>
      <c r="J111" s="37">
        <f>((G111-103)-'Processing costs'!E111)*100/203600</f>
        <v>0.75491159135559927</v>
      </c>
      <c r="K111" s="37">
        <f>(G111-'Processing costs'!D111-H111*8.5%)*100/10600</f>
        <v>15.041084905660377</v>
      </c>
      <c r="L111" s="35"/>
      <c r="M111" s="38">
        <v>3290</v>
      </c>
      <c r="N111" s="38">
        <f>732.5/1.154</f>
        <v>634.74870017331023</v>
      </c>
      <c r="O111" s="38">
        <f t="shared" si="89"/>
        <v>3770</v>
      </c>
      <c r="P111" s="37">
        <f>(M111-'Processing costs'!G111)*100/9100</f>
        <v>31.164835164835164</v>
      </c>
      <c r="Q111" s="37">
        <f>(N111-'Processing costs'!H111)*100/16700</f>
        <v>0.44759700702580973</v>
      </c>
      <c r="R111" s="37">
        <f>(O111-'Processing costs'!I111)*100/205000</f>
        <v>1.6712195121951219</v>
      </c>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1:45" x14ac:dyDescent="0.3">
      <c r="A112" s="87"/>
      <c r="B112" s="41">
        <v>45231</v>
      </c>
      <c r="C112" s="34">
        <f t="shared" ref="C112" si="91">I112+J112+K112</f>
        <v>37.658690658783783</v>
      </c>
      <c r="D112" s="34">
        <f t="shared" ref="D112:D113" si="92">P112+Q112+R112</f>
        <v>35.169120372550928</v>
      </c>
      <c r="E112" s="35"/>
      <c r="F112" s="36">
        <v>4580</v>
      </c>
      <c r="G112" s="36">
        <v>2280</v>
      </c>
      <c r="H112" s="36">
        <v>561</v>
      </c>
      <c r="I112" s="34">
        <f>(F112-'Processing costs'!C112)*100/19900</f>
        <v>21.286432160804019</v>
      </c>
      <c r="J112" s="34">
        <f>((G112-103)-'Processing costs'!E112)*100/203600</f>
        <v>0.78438113948919452</v>
      </c>
      <c r="K112" s="34">
        <f>(G112-'Processing costs'!D112-H112*8.5%)*100/10600</f>
        <v>15.587877358490566</v>
      </c>
      <c r="L112" s="35"/>
      <c r="M112" s="36">
        <v>3400</v>
      </c>
      <c r="N112" s="36">
        <f>810.02/1.147</f>
        <v>706.20749782040104</v>
      </c>
      <c r="O112" s="36">
        <f t="shared" si="89"/>
        <v>4280</v>
      </c>
      <c r="P112" s="34">
        <f>(M112-'Processing costs'!G112)*100/9100</f>
        <v>32.373626373626372</v>
      </c>
      <c r="Q112" s="34">
        <f>(N112-'Processing costs'!H112)*100/16700</f>
        <v>0.87549399892455715</v>
      </c>
      <c r="R112" s="34">
        <f>(O112-'Processing costs'!I112)*100/205000</f>
        <v>1.92</v>
      </c>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1:45" x14ac:dyDescent="0.3">
      <c r="A113" s="87"/>
      <c r="B113" s="42">
        <v>45261</v>
      </c>
      <c r="C113" s="37">
        <f t="shared" ref="C113:C119" si="93">I113+J113+K113</f>
        <v>37.951218840244145</v>
      </c>
      <c r="D113" s="37">
        <f t="shared" si="92"/>
        <v>36.536952701759525</v>
      </c>
      <c r="E113" s="35"/>
      <c r="F113" s="38">
        <v>4740</v>
      </c>
      <c r="G113" s="38">
        <v>2230</v>
      </c>
      <c r="H113" s="38">
        <v>580</v>
      </c>
      <c r="I113" s="37">
        <f>(F113-'Processing costs'!C113)*100/19900</f>
        <v>22.090452261306531</v>
      </c>
      <c r="J113" s="37">
        <f>((G113-103)-'Processing costs'!E113)*100/203600</f>
        <v>0.75982318271119842</v>
      </c>
      <c r="K113" s="37">
        <f>(G113-'Processing costs'!D113-H113*8.5%)*100/10600</f>
        <v>15.100943396226414</v>
      </c>
      <c r="L113" s="35"/>
      <c r="M113" s="38">
        <v>3510</v>
      </c>
      <c r="N113" s="38">
        <f>836.33/1.162</f>
        <v>719.7332185886404</v>
      </c>
      <c r="O113" s="38">
        <f t="shared" si="89"/>
        <v>4440</v>
      </c>
      <c r="P113" s="37">
        <f>(M113-'Processing costs'!G113)*100/9100</f>
        <v>33.582417582417584</v>
      </c>
      <c r="Q113" s="37">
        <f>(N113-'Processing costs'!H113)*100/16700</f>
        <v>0.95648633885413414</v>
      </c>
      <c r="R113" s="37">
        <f>(O113-'Processing costs'!I113)*100/205000</f>
        <v>1.9980487804878049</v>
      </c>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1:45" x14ac:dyDescent="0.3">
      <c r="A114" s="87" t="s">
        <v>53</v>
      </c>
      <c r="B114" s="41">
        <v>45292</v>
      </c>
      <c r="C114" s="34">
        <f t="shared" si="93"/>
        <v>37.443882174523132</v>
      </c>
      <c r="D114" s="34">
        <f t="shared" ref="D114:D119" si="94">P114+Q114+R114</f>
        <v>37.613866985832232</v>
      </c>
      <c r="E114" s="35"/>
      <c r="F114" s="36">
        <v>4750</v>
      </c>
      <c r="G114" s="36">
        <v>2170</v>
      </c>
      <c r="H114" s="36">
        <v>570</v>
      </c>
      <c r="I114" s="34">
        <f>(F114-'Processing costs'!C114)*100/19900</f>
        <v>22.150753768844222</v>
      </c>
      <c r="J114" s="34">
        <f>((G114-103)-'Processing costs'!E114)*100/203600</f>
        <v>0.73133595284872299</v>
      </c>
      <c r="K114" s="34">
        <f>(G114-'Processing costs'!D114-H114*8.5%)*100/10600</f>
        <v>14.561792452830188</v>
      </c>
      <c r="L114" s="35"/>
      <c r="M114" s="36">
        <v>3600</v>
      </c>
      <c r="N114" s="36">
        <f>851.88/1.166</f>
        <v>730.60034305317333</v>
      </c>
      <c r="O114" s="36">
        <f>F114-300</f>
        <v>4450</v>
      </c>
      <c r="P114" s="34">
        <f>(M114-'Processing costs'!G114)*100/9100</f>
        <v>34.582417582417584</v>
      </c>
      <c r="Q114" s="34">
        <f>(N114-'Processing costs'!H114)*100/16700</f>
        <v>1.0275469643902595</v>
      </c>
      <c r="R114" s="34">
        <f>(O114-'Processing costs'!I114)*100/205000</f>
        <v>2.0039024390243902</v>
      </c>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1:45" x14ac:dyDescent="0.3">
      <c r="B115" s="42">
        <v>45323</v>
      </c>
      <c r="C115" s="37">
        <f t="shared" si="93"/>
        <v>37.618971284025122</v>
      </c>
      <c r="D115" s="37">
        <f t="shared" si="94"/>
        <v>36.812023863411596</v>
      </c>
      <c r="E115" s="35"/>
      <c r="F115" s="38">
        <v>4850</v>
      </c>
      <c r="G115" s="38">
        <v>2140</v>
      </c>
      <c r="H115" s="38">
        <v>607</v>
      </c>
      <c r="I115" s="37">
        <f>(F115-'Processing costs'!C115)*100/19900</f>
        <v>22.653266331658291</v>
      </c>
      <c r="J115" s="37">
        <f>((G115-103)-'Processing costs'!E115)*100/203600</f>
        <v>0.71660117878192531</v>
      </c>
      <c r="K115" s="37">
        <f>(G115-'Processing costs'!D115-H115*8.5%)*100/10600</f>
        <v>14.249103773584906</v>
      </c>
      <c r="L115" s="35"/>
      <c r="M115" s="38">
        <v>3530</v>
      </c>
      <c r="N115" s="38">
        <f>833.88/1.163</f>
        <v>717.00773860705067</v>
      </c>
      <c r="O115" s="38">
        <f t="shared" ref="O115" si="95">F115-300</f>
        <v>4550</v>
      </c>
      <c r="P115" s="37">
        <f>(M115-'Processing costs'!G115)*100/9100</f>
        <v>33.81318681318681</v>
      </c>
      <c r="Q115" s="37">
        <f>(N115-'Processing costs'!H115)*100/16700</f>
        <v>0.94615412339551297</v>
      </c>
      <c r="R115" s="37">
        <f>(O115-'Processing costs'!I115)*100/205000</f>
        <v>2.0526829268292683</v>
      </c>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1:45" x14ac:dyDescent="0.3">
      <c r="B116" s="41">
        <v>45352</v>
      </c>
      <c r="C116" s="34">
        <f t="shared" si="93"/>
        <v>36.617638389337053</v>
      </c>
      <c r="D116" s="34">
        <f t="shared" si="94"/>
        <v>36.282420759473645</v>
      </c>
      <c r="E116" s="35"/>
      <c r="F116" s="36">
        <v>4850</v>
      </c>
      <c r="G116" s="36">
        <v>2040</v>
      </c>
      <c r="H116" s="36">
        <v>618</v>
      </c>
      <c r="I116" s="34">
        <f>(F116-'Processing costs'!C116)*100/19900</f>
        <v>22.653266331658291</v>
      </c>
      <c r="J116" s="34">
        <f>((G116-103)-'Processing costs'!E116)*100/203600</f>
        <v>0.66748526522593321</v>
      </c>
      <c r="K116" s="34">
        <f>(G116-'Processing costs'!D116-H116*8.5%)*100/10600</f>
        <v>13.296886792452829</v>
      </c>
      <c r="L116" s="35"/>
      <c r="M116" s="36">
        <v>3490</v>
      </c>
      <c r="N116" s="36">
        <f>812.18/1.157</f>
        <v>701.97061365600689</v>
      </c>
      <c r="O116" s="36">
        <f t="shared" ref="O116:O121" si="96">F116-300</f>
        <v>4550</v>
      </c>
      <c r="P116" s="34">
        <f>(M116-'Processing costs'!G116)*100/9100</f>
        <v>33.373626373626372</v>
      </c>
      <c r="Q116" s="34">
        <f>(N116-'Processing costs'!H116)*100/16700</f>
        <v>0.85611145901800534</v>
      </c>
      <c r="R116" s="34">
        <f>(O116-'Processing costs'!I116)*100/205000</f>
        <v>2.0526829268292683</v>
      </c>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1:45" x14ac:dyDescent="0.35">
      <c r="A117" s="90" t="s">
        <v>53</v>
      </c>
      <c r="B117" s="42">
        <v>45383</v>
      </c>
      <c r="C117" s="37">
        <f t="shared" si="93"/>
        <v>36.141258814273769</v>
      </c>
      <c r="D117" s="37">
        <f t="shared" si="94"/>
        <v>35.568433761410908</v>
      </c>
      <c r="F117" s="38">
        <v>4910</v>
      </c>
      <c r="G117" s="38">
        <v>2000</v>
      </c>
      <c r="H117" s="38">
        <v>659</v>
      </c>
      <c r="I117" s="37">
        <f>(F117-'Processing costs'!C117)*100/19900</f>
        <v>22.904522613065328</v>
      </c>
      <c r="J117" s="37">
        <f>((G117-103)-'Processing costs'!E117)*100/203600</f>
        <v>0.63310412573673869</v>
      </c>
      <c r="K117" s="37">
        <f>(G117-'Processing costs'!D117-H117*8.5%)*100/10600</f>
        <v>12.603632075471698</v>
      </c>
      <c r="M117" s="38">
        <v>3470</v>
      </c>
      <c r="N117" s="38">
        <f>775.52/1.16</f>
        <v>668.55172413793105</v>
      </c>
      <c r="O117" s="38">
        <f t="shared" si="96"/>
        <v>4610</v>
      </c>
      <c r="P117" s="37">
        <f>(M117-'Processing costs'!G117)*100/9100</f>
        <v>33.032967032967036</v>
      </c>
      <c r="Q117" s="37">
        <f>(N117-'Processing costs'!H117)*100/16700</f>
        <v>0.458393557712162</v>
      </c>
      <c r="R117" s="37">
        <f>(O117-'Processing costs'!I117)*100/205000</f>
        <v>2.0770731707317074</v>
      </c>
    </row>
    <row r="118" spans="1:45" x14ac:dyDescent="0.3">
      <c r="B118" s="41">
        <v>45413</v>
      </c>
      <c r="C118" s="34">
        <f t="shared" si="93"/>
        <v>37.076337988828378</v>
      </c>
      <c r="D118" s="34">
        <f t="shared" si="94"/>
        <v>36.404219095239952</v>
      </c>
      <c r="E118" s="35"/>
      <c r="F118" s="36">
        <v>5080</v>
      </c>
      <c r="G118" s="36">
        <v>2010</v>
      </c>
      <c r="H118" s="36">
        <v>682</v>
      </c>
      <c r="I118" s="34">
        <f>(F118-'Processing costs'!C118)*100/19900</f>
        <v>23.758793969849247</v>
      </c>
      <c r="J118" s="34">
        <f>((G118-103)-'Processing costs'!E118)*100/203600</f>
        <v>0.63801571709233795</v>
      </c>
      <c r="K118" s="34">
        <f>(G118-'Processing costs'!D118-H118*8.5%)*100/10600</f>
        <v>12.679528301886792</v>
      </c>
      <c r="L118" s="35"/>
      <c r="M118" s="36">
        <v>3540</v>
      </c>
      <c r="N118" s="36">
        <f>773.68/1.162</f>
        <v>665.81755593803791</v>
      </c>
      <c r="O118" s="36">
        <f t="shared" si="96"/>
        <v>4780</v>
      </c>
      <c r="P118" s="34">
        <f>(M118-'Processing costs'!G118)*100/9100</f>
        <v>33.802197802197803</v>
      </c>
      <c r="Q118" s="34">
        <f>(N118-'Processing costs'!H118)*100/16700</f>
        <v>0.44202129304214322</v>
      </c>
      <c r="R118" s="34">
        <f>(O118-'Processing costs'!I118)*100/205000</f>
        <v>2.16</v>
      </c>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1:45" x14ac:dyDescent="0.3">
      <c r="B119" s="42">
        <v>45444</v>
      </c>
      <c r="C119" s="37">
        <f t="shared" si="93"/>
        <v>40.495987677852511</v>
      </c>
      <c r="D119" s="37">
        <f t="shared" si="94"/>
        <v>38.190371114730887</v>
      </c>
      <c r="E119" s="35"/>
      <c r="F119" s="38">
        <v>5660</v>
      </c>
      <c r="G119" s="38">
        <v>2060</v>
      </c>
      <c r="H119" s="38">
        <v>671</v>
      </c>
      <c r="I119" s="37">
        <f>(F119-'Processing costs'!C119)*100/19900</f>
        <v>26.673366834170853</v>
      </c>
      <c r="J119" s="37">
        <f>((G119-103)-'Processing costs'!E119)*100/203600</f>
        <v>0.66257367387033395</v>
      </c>
      <c r="K119" s="37">
        <f>(G119-'Processing costs'!D119-H119*8.5%)*100/10600</f>
        <v>13.160047169811321</v>
      </c>
      <c r="L119" s="35"/>
      <c r="M119" s="38">
        <v>3670</v>
      </c>
      <c r="N119" s="38">
        <f>790.88/1.166</f>
        <v>678.28473413379072</v>
      </c>
      <c r="O119" s="38">
        <f t="shared" si="96"/>
        <v>5360</v>
      </c>
      <c r="P119" s="37">
        <f>(M119-'Processing costs'!G119)*100/9100</f>
        <v>35.230769230769234</v>
      </c>
      <c r="Q119" s="37">
        <f>(N119-'Processing costs'!H119)*100/16700</f>
        <v>0.51667505469335762</v>
      </c>
      <c r="R119" s="37">
        <f>(O119-'Processing costs'!I119)*100/205000</f>
        <v>2.4429268292682926</v>
      </c>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1:45" x14ac:dyDescent="0.35">
      <c r="A120" s="90" t="s">
        <v>53</v>
      </c>
      <c r="B120" s="41">
        <v>45474</v>
      </c>
      <c r="C120" s="34">
        <f t="shared" ref="C120:C126" si="97">I120+J120+K120</f>
        <v>40.488741391093811</v>
      </c>
      <c r="D120" s="34">
        <f t="shared" ref="D120" si="98">P120+Q120+R120</f>
        <v>39.651802529132752</v>
      </c>
      <c r="E120" s="35"/>
      <c r="F120" s="36">
        <v>5680</v>
      </c>
      <c r="G120" s="36">
        <v>2010</v>
      </c>
      <c r="H120" s="36">
        <v>670</v>
      </c>
      <c r="I120" s="34">
        <f>(F120-'Processing costs'!C120)*100/19900</f>
        <v>26.824120603015075</v>
      </c>
      <c r="J120" s="34">
        <f>((G120-103)-'Processing costs'!E120)*100/203600</f>
        <v>0.6547151277013753</v>
      </c>
      <c r="K120" s="34">
        <f>(G120-'Processing costs'!D120-H120*8.5%)*100/10600</f>
        <v>13.009905660377358</v>
      </c>
      <c r="L120" s="35"/>
      <c r="M120" s="36">
        <v>3770</v>
      </c>
      <c r="N120" s="36">
        <f>785.3/1.17</f>
        <v>671.19658119658118</v>
      </c>
      <c r="O120" s="36">
        <f t="shared" si="96"/>
        <v>5380</v>
      </c>
      <c r="P120" s="34">
        <f>(M120-'Processing costs'!G120)*100/9100</f>
        <v>36.450549450549453</v>
      </c>
      <c r="Q120" s="34">
        <f>(N120-'Processing costs'!H120)*100/16700</f>
        <v>0.74369210297353994</v>
      </c>
      <c r="R120" s="34">
        <f>(O120-'Processing costs'!I120)*100/205000</f>
        <v>2.4575609756097561</v>
      </c>
    </row>
    <row r="121" spans="1:45" x14ac:dyDescent="0.35">
      <c r="A121" s="90"/>
      <c r="B121" s="42">
        <v>45505</v>
      </c>
      <c r="C121" s="37">
        <f t="shared" si="97"/>
        <v>42.684913293438314</v>
      </c>
      <c r="D121" s="37">
        <f>P121+Q121+R121</f>
        <v>40.946576748323018</v>
      </c>
      <c r="E121" s="35"/>
      <c r="F121" s="38">
        <v>6100</v>
      </c>
      <c r="G121" s="38">
        <v>2020</v>
      </c>
      <c r="H121" s="38">
        <v>687</v>
      </c>
      <c r="I121" s="37">
        <f>(F121-'Processing costs'!C121)*100/19900</f>
        <v>28.934673366834172</v>
      </c>
      <c r="J121" s="37">
        <f>((G121-103)-'Processing costs'!E121)*100/203600</f>
        <v>0.65962671905697445</v>
      </c>
      <c r="K121" s="37">
        <f>(G121-'Processing costs'!D121-H121*8.5%)*100/10600</f>
        <v>13.09061320754717</v>
      </c>
      <c r="L121" s="35"/>
      <c r="M121" s="38">
        <v>3860</v>
      </c>
      <c r="N121" s="38">
        <f>805.7/1.171</f>
        <v>688.04440649017931</v>
      </c>
      <c r="O121" s="38">
        <f t="shared" si="96"/>
        <v>5800</v>
      </c>
      <c r="P121" s="37">
        <f>(M121-'Processing costs'!G121)*100/9100</f>
        <v>37.439560439560438</v>
      </c>
      <c r="Q121" s="37">
        <f>(N121-'Processing costs'!H121)*100/16700</f>
        <v>0.84457728437233126</v>
      </c>
      <c r="R121" s="37">
        <f>(O121-'Processing costs'!I121)*100/205000</f>
        <v>2.662439024390244</v>
      </c>
    </row>
    <row r="122" spans="1:45" x14ac:dyDescent="0.35">
      <c r="A122" s="90" t="s">
        <v>53</v>
      </c>
      <c r="B122" s="41">
        <v>45536</v>
      </c>
      <c r="C122" s="34">
        <f t="shared" si="97"/>
        <v>50.032009188338044</v>
      </c>
      <c r="D122" s="34">
        <f t="shared" ref="D122" si="99">P122+Q122+R122</f>
        <v>46.777924885212144</v>
      </c>
      <c r="E122" s="35"/>
      <c r="F122" s="36">
        <v>6730</v>
      </c>
      <c r="G122" s="36">
        <v>2150</v>
      </c>
      <c r="H122" s="36">
        <v>677</v>
      </c>
      <c r="I122" s="34">
        <f>(F122-'Processing costs'!C122)*100/19200</f>
        <v>33.307291666666664</v>
      </c>
      <c r="J122" s="34">
        <f>((G122-103)-'Processing costs'!E122)*100/202700</f>
        <v>0.80266403552047361</v>
      </c>
      <c r="K122" s="34">
        <f>(G122-'Processing costs'!D122-H122*9.3%)*100/10470</f>
        <v>15.922053486150906</v>
      </c>
      <c r="L122" s="35"/>
      <c r="M122" s="36">
        <v>4150</v>
      </c>
      <c r="N122" s="36">
        <f>896.5/1.17</f>
        <v>766.23931623931628</v>
      </c>
      <c r="O122" s="36">
        <f t="shared" ref="O122:O133" si="100">F122*0.95</f>
        <v>6393.5</v>
      </c>
      <c r="P122" s="34">
        <f>(M122-'Processing costs'!G122)*100/8860</f>
        <v>42.042889390519186</v>
      </c>
      <c r="Q122" s="34">
        <f>(N122-'Processing costs'!H122)*100/16700</f>
        <v>1.8637084804749477</v>
      </c>
      <c r="R122" s="34">
        <f>(O122-'Processing costs'!I122)*100/211000</f>
        <v>2.8713270142180094</v>
      </c>
    </row>
    <row r="123" spans="1:45" x14ac:dyDescent="0.35">
      <c r="A123" s="90"/>
      <c r="B123" s="42">
        <v>45566</v>
      </c>
      <c r="C123" s="37">
        <f t="shared" si="97"/>
        <v>48.21366118144072</v>
      </c>
      <c r="D123" s="37">
        <f t="shared" ref="D123:D128" si="101">P123+Q123+R123</f>
        <v>48.473652449563097</v>
      </c>
      <c r="E123" s="35"/>
      <c r="F123" s="38">
        <v>6500</v>
      </c>
      <c r="G123" s="38">
        <v>2090</v>
      </c>
      <c r="H123" s="38">
        <v>697</v>
      </c>
      <c r="I123" s="37">
        <f>(F123-'Processing costs'!C123)*100/19200</f>
        <v>32.109375</v>
      </c>
      <c r="J123" s="37">
        <f>((G123-103)-'Processing costs'!E123)*100/202700</f>
        <v>0.77306364084854462</v>
      </c>
      <c r="K123" s="37">
        <f>(G123-'Processing costs'!D123-H123*9.3%)*100/10470</f>
        <v>15.33122254059217</v>
      </c>
      <c r="L123" s="35"/>
      <c r="M123" s="38">
        <v>4300</v>
      </c>
      <c r="N123" s="38">
        <f>918.05/1.171</f>
        <v>783.98804440649008</v>
      </c>
      <c r="O123" s="38">
        <f t="shared" si="100"/>
        <v>6175</v>
      </c>
      <c r="P123" s="37">
        <f>(M123-'Processing costs'!G123)*100/8860</f>
        <v>43.735891647855532</v>
      </c>
      <c r="Q123" s="37">
        <f>(N123-'Processing costs'!H123)*100/16700</f>
        <v>1.969988289859222</v>
      </c>
      <c r="R123" s="37">
        <f>(O123-'Processing costs'!I123)*100/211000</f>
        <v>2.7677725118483414</v>
      </c>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1:45" x14ac:dyDescent="0.35">
      <c r="A124" s="90"/>
      <c r="B124" s="41">
        <v>45597</v>
      </c>
      <c r="C124" s="34">
        <f t="shared" si="97"/>
        <v>48.965669663750127</v>
      </c>
      <c r="D124" s="34">
        <f t="shared" si="101"/>
        <v>47.334261198890871</v>
      </c>
      <c r="E124" s="35"/>
      <c r="F124" s="36">
        <v>6630</v>
      </c>
      <c r="G124" s="36">
        <v>2100</v>
      </c>
      <c r="H124" s="36">
        <v>725.72971816376253</v>
      </c>
      <c r="I124" s="34">
        <f>(F124-'Processing costs'!C124)*100/19200</f>
        <v>32.786458333333336</v>
      </c>
      <c r="J124" s="34">
        <f>((G124-103)-'Processing costs'!E124)*100/202700</f>
        <v>0.77799703996053282</v>
      </c>
      <c r="K124" s="34">
        <f>(G124-'Processing costs'!D124-H124*9.3%)*100/10470</f>
        <v>15.401214290456258</v>
      </c>
      <c r="L124" s="35"/>
      <c r="M124" s="36">
        <v>4190</v>
      </c>
      <c r="N124" s="36">
        <f>924.205/1.168</f>
        <v>791.27140410958907</v>
      </c>
      <c r="O124" s="36">
        <f t="shared" si="100"/>
        <v>6298.5</v>
      </c>
      <c r="P124" s="34">
        <f>(M124-'Processing costs'!G124)*100/8860</f>
        <v>42.494356659142213</v>
      </c>
      <c r="Q124" s="34">
        <f>(N124-'Processing costs'!H124)*100/16700</f>
        <v>2.0136012222131083</v>
      </c>
      <c r="R124" s="34">
        <f>(O124-'Processing costs'!I124)*100/211000</f>
        <v>2.8263033175355452</v>
      </c>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1:45" x14ac:dyDescent="0.35">
      <c r="A125" s="90"/>
      <c r="B125" s="42">
        <v>45627</v>
      </c>
      <c r="C125" s="37">
        <f t="shared" si="97"/>
        <v>48.107317383396804</v>
      </c>
      <c r="D125" s="37">
        <f t="shared" si="101"/>
        <v>46.216022495840534</v>
      </c>
      <c r="E125" s="35"/>
      <c r="F125" s="38">
        <v>6470</v>
      </c>
      <c r="G125" s="38">
        <v>2100</v>
      </c>
      <c r="H125" s="38">
        <v>753.89621013142096</v>
      </c>
      <c r="I125" s="37">
        <f>(F125-'Processing costs'!C125)*100/19200</f>
        <v>31.953125</v>
      </c>
      <c r="J125" s="37">
        <f>((G125-103)-'Processing costs'!E125)*100/202700</f>
        <v>0.77799703996053282</v>
      </c>
      <c r="K125" s="37">
        <f>(G125-'Processing costs'!D125-H125*9.3%)*100/10470</f>
        <v>15.376195343436274</v>
      </c>
      <c r="L125" s="35"/>
      <c r="M125" s="38">
        <v>4080</v>
      </c>
      <c r="N125" s="38">
        <f>963.13/1.169</f>
        <v>823.8922155688623</v>
      </c>
      <c r="O125" s="38">
        <f t="shared" si="100"/>
        <v>6146.5</v>
      </c>
      <c r="P125" s="37">
        <f>(M125-'Processing costs'!G125)*100/8860</f>
        <v>41.252821670428894</v>
      </c>
      <c r="Q125" s="37">
        <f>(N125-'Processing costs'!H125)*100/16700</f>
        <v>2.2089354225680378</v>
      </c>
      <c r="R125" s="37">
        <f>(O125-'Processing costs'!I125)*100/211000</f>
        <v>2.7542654028436018</v>
      </c>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row>
    <row r="126" spans="1:45" x14ac:dyDescent="0.35">
      <c r="A126" s="90"/>
      <c r="B126" s="41">
        <v>45658</v>
      </c>
      <c r="C126" s="34">
        <f t="shared" si="97"/>
        <v>46.475934342854273</v>
      </c>
      <c r="D126" s="34">
        <f t="shared" si="101"/>
        <v>45.113762277795942</v>
      </c>
      <c r="E126" s="35"/>
      <c r="F126" s="36">
        <v>6180</v>
      </c>
      <c r="G126" s="36">
        <v>2090</v>
      </c>
      <c r="H126" s="36">
        <v>777</v>
      </c>
      <c r="I126" s="34">
        <f>(F126-'Processing costs'!C126)*100/19200</f>
        <v>30.442708333333332</v>
      </c>
      <c r="J126" s="34">
        <f>((G126-103)-'Processing costs'!E126)*100/202700</f>
        <v>0.77306364084854462</v>
      </c>
      <c r="K126" s="34">
        <f>(G126-'Processing costs'!D126-H126*9.3%)*100/10470</f>
        <v>15.260162368672397</v>
      </c>
      <c r="L126" s="35"/>
      <c r="M126" s="36">
        <v>3990</v>
      </c>
      <c r="N126" s="36">
        <f>970.91/1.168</f>
        <v>831.25856164383561</v>
      </c>
      <c r="O126" s="36">
        <f t="shared" si="100"/>
        <v>5871</v>
      </c>
      <c r="P126" s="34">
        <f>(M126-'Processing costs'!G126)*100/8860</f>
        <v>40.237020316027085</v>
      </c>
      <c r="Q126" s="34">
        <f>(N126-'Processing costs'!H126)*100/16700</f>
        <v>2.2530452793044051</v>
      </c>
      <c r="R126" s="34">
        <f>(O126-'Processing costs'!I126)*100/211000</f>
        <v>2.623696682464455</v>
      </c>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7" spans="1:45" x14ac:dyDescent="0.3">
      <c r="B127" s="42">
        <v>45689</v>
      </c>
      <c r="C127" s="37">
        <f>I127+J127+K127</f>
        <v>44.400891953081818</v>
      </c>
      <c r="D127" s="37">
        <f t="shared" si="101"/>
        <v>44.84047419951122</v>
      </c>
      <c r="E127" s="35"/>
      <c r="F127" s="38">
        <v>5920</v>
      </c>
      <c r="G127" s="38">
        <v>2020</v>
      </c>
      <c r="H127" s="38">
        <v>797</v>
      </c>
      <c r="I127" s="37">
        <f>(F127-'Processing costs'!C127)*100/19200</f>
        <v>29.088541666666668</v>
      </c>
      <c r="J127" s="37">
        <f>((G127-103)-'Processing costs'!E127)*100/202700</f>
        <v>0.73852984706462754</v>
      </c>
      <c r="K127" s="37">
        <f>(G127-'Processing costs'!D127-H127*9.3%)*100/10470</f>
        <v>14.573820439350525</v>
      </c>
      <c r="L127" s="35"/>
      <c r="M127" s="38">
        <v>3960</v>
      </c>
      <c r="N127" s="38">
        <f>1009.93/1.172</f>
        <v>861.71501706484639</v>
      </c>
      <c r="O127" s="38">
        <f t="shared" si="100"/>
        <v>5624</v>
      </c>
      <c r="P127" s="37">
        <f>(M127-'Processing costs'!G127)*100/8860</f>
        <v>39.89841986455982</v>
      </c>
      <c r="Q127" s="37">
        <f>(N127-'Processing costs'!H127)*100/16700</f>
        <v>2.4354192638613559</v>
      </c>
      <c r="R127" s="37">
        <f>(O127-'Processing costs'!I127)*100/211000</f>
        <v>2.5066350710900474</v>
      </c>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row>
    <row r="128" spans="1:45" x14ac:dyDescent="0.3">
      <c r="B128" s="41">
        <v>45717</v>
      </c>
      <c r="C128" s="34">
        <f t="shared" ref="C128" si="102">I128+J128+K128</f>
        <v>45.094133100292659</v>
      </c>
      <c r="D128" s="34">
        <f t="shared" si="101"/>
        <v>45.66527324040733</v>
      </c>
      <c r="E128" s="35"/>
      <c r="F128" s="36">
        <v>6070</v>
      </c>
      <c r="G128" s="36">
        <v>2010</v>
      </c>
      <c r="H128" s="36">
        <v>783</v>
      </c>
      <c r="I128" s="34">
        <f>(F128-'Processing costs'!C128)*100/19200</f>
        <v>29.869791666666668</v>
      </c>
      <c r="J128" s="34">
        <f>((G128-103)-'Processing costs'!E128)*100/202700</f>
        <v>0.73359644795263934</v>
      </c>
      <c r="K128" s="34">
        <f>(G128-'Processing costs'!D128-H128*9.3%)*100/10470</f>
        <v>14.490744985673352</v>
      </c>
      <c r="L128" s="35"/>
      <c r="M128" s="36">
        <v>4020</v>
      </c>
      <c r="N128" s="36">
        <f>1023.85/1.17</f>
        <v>875.08547008547021</v>
      </c>
      <c r="O128" s="36">
        <f t="shared" si="100"/>
        <v>5766.5</v>
      </c>
      <c r="P128" s="34">
        <f>(M128-'Processing costs'!G128)*100/8860</f>
        <v>40.575620767494357</v>
      </c>
      <c r="Q128" s="34">
        <f>(N128-'Processing costs'!H128)*100/16700</f>
        <v>2.515481856799223</v>
      </c>
      <c r="R128" s="34">
        <f>(O128-'Processing costs'!I128)*100/211000</f>
        <v>2.5741706161137441</v>
      </c>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row>
    <row r="129" spans="1:45" x14ac:dyDescent="0.35">
      <c r="A129" s="90"/>
      <c r="B129" s="42">
        <v>45748</v>
      </c>
      <c r="C129" s="37">
        <f t="shared" ref="C129:C134" si="103">I129+J129+K129</f>
        <v>44.68774503285163</v>
      </c>
      <c r="D129" s="37">
        <f t="shared" ref="D129:D130" si="104">P129+Q129+R129</f>
        <v>45.701897299673135</v>
      </c>
      <c r="E129" s="35"/>
      <c r="F129" s="38">
        <v>6050</v>
      </c>
      <c r="G129" s="38">
        <v>1980</v>
      </c>
      <c r="H129" s="38">
        <v>784</v>
      </c>
      <c r="I129" s="37">
        <f>(F129-'Processing costs'!C129)*100/19200</f>
        <v>29.765625</v>
      </c>
      <c r="J129" s="37">
        <f>((G129-103)-'Processing costs'!E129)*100/202700</f>
        <v>0.71879625061667485</v>
      </c>
      <c r="K129" s="37">
        <f>(G129-'Processing costs'!D129-H129*9.3%)*100/10470</f>
        <v>14.203323782234955</v>
      </c>
      <c r="L129" s="35"/>
      <c r="M129" s="38">
        <v>4020</v>
      </c>
      <c r="N129" s="38">
        <f>1031/1.168</f>
        <v>882.70547945205487</v>
      </c>
      <c r="O129" s="38">
        <f t="shared" si="100"/>
        <v>5747.5</v>
      </c>
      <c r="P129" s="37">
        <f>(M129-'Processing costs'!G129)*100/8860</f>
        <v>40.575620767494357</v>
      </c>
      <c r="Q129" s="37">
        <f>(N129-'Processing costs'!H129)*100/16700</f>
        <v>2.5611106554015262</v>
      </c>
      <c r="R129" s="37">
        <f>(O129-'Processing costs'!I129)*100/211000</f>
        <v>2.5651658767772512</v>
      </c>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row>
    <row r="130" spans="1:45" x14ac:dyDescent="0.3">
      <c r="B130" s="41">
        <v>45778</v>
      </c>
      <c r="C130" s="34">
        <f t="shared" si="103"/>
        <v>44.644713496203828</v>
      </c>
      <c r="D130" s="34">
        <f t="shared" si="104"/>
        <v>44.728700556404142</v>
      </c>
      <c r="E130" s="35"/>
      <c r="F130" s="36">
        <v>6060</v>
      </c>
      <c r="G130" s="36">
        <v>1970</v>
      </c>
      <c r="H130" s="36">
        <v>778</v>
      </c>
      <c r="I130" s="34">
        <f>(F130-'Processing costs'!C130)*100/19200</f>
        <v>29.817708333333332</v>
      </c>
      <c r="J130" s="34">
        <f>((G130-103)-'Processing costs'!E130)*100/202700</f>
        <v>0.71386285150468676</v>
      </c>
      <c r="K130" s="34">
        <f>(G130-'Processing costs'!D130-H130*9.3%)*100/10470</f>
        <v>14.113142311365808</v>
      </c>
      <c r="L130" s="35"/>
      <c r="M130" s="36">
        <v>3950</v>
      </c>
      <c r="N130" s="36">
        <f>993.55/1.167</f>
        <v>851.3710368466152</v>
      </c>
      <c r="O130" s="36">
        <f t="shared" si="100"/>
        <v>5757</v>
      </c>
      <c r="P130" s="34">
        <f>(M130-'Processing costs'!G130)*100/8860</f>
        <v>39.785553047404065</v>
      </c>
      <c r="Q130" s="34">
        <f>(N130-'Processing costs'!H130)*100/16700</f>
        <v>2.3734792625545817</v>
      </c>
      <c r="R130" s="34">
        <f>(O130-'Processing costs'!I130)*100/211000</f>
        <v>2.5696682464454979</v>
      </c>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row>
    <row r="131" spans="1:45" x14ac:dyDescent="0.3">
      <c r="B131" s="42">
        <v>45809</v>
      </c>
      <c r="C131" s="37">
        <f t="shared" si="103"/>
        <v>45.256220438773312</v>
      </c>
      <c r="D131" s="37">
        <f t="shared" ref="D131" si="105">P131+Q131+R131</f>
        <v>44.165570351925737</v>
      </c>
      <c r="E131" s="35"/>
      <c r="F131" s="38">
        <v>6160</v>
      </c>
      <c r="G131" s="38">
        <v>1980</v>
      </c>
      <c r="H131" s="38">
        <v>789</v>
      </c>
      <c r="I131" s="37">
        <f>(F131-'Processing costs'!C131)*100/19200</f>
        <v>30.338541666666668</v>
      </c>
      <c r="J131" s="37">
        <f>((G131-103)-'Processing costs'!E131)*100/202700</f>
        <v>0.71879625061667485</v>
      </c>
      <c r="K131" s="37">
        <f>(G131-'Processing costs'!D131-H131*9.3%)*100/10470</f>
        <v>14.198882521489972</v>
      </c>
      <c r="L131" s="35"/>
      <c r="M131" s="38">
        <v>3900</v>
      </c>
      <c r="N131" s="38">
        <f>985.01/1.167</f>
        <v>844.05312767780629</v>
      </c>
      <c r="O131" s="38">
        <f t="shared" si="100"/>
        <v>5852</v>
      </c>
      <c r="P131" s="37">
        <f>(M131-'Processing costs'!G131)*100/8860</f>
        <v>39.221218961625283</v>
      </c>
      <c r="Q131" s="37">
        <f>(N131-'Processing costs'!H131)*100/16700</f>
        <v>2.3296594471724927</v>
      </c>
      <c r="R131" s="37">
        <f>(O131-'Processing costs'!I131)*100/211000</f>
        <v>2.614691943127962</v>
      </c>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row>
    <row r="132" spans="1:45" x14ac:dyDescent="0.3">
      <c r="B132" s="41">
        <v>45839</v>
      </c>
      <c r="C132" s="34">
        <f t="shared" si="103"/>
        <v>45.07882166239294</v>
      </c>
      <c r="D132" s="34">
        <f>P132+Q132+R132</f>
        <v>43.861975058501983</v>
      </c>
      <c r="E132" s="35"/>
      <c r="F132" s="36">
        <v>6150</v>
      </c>
      <c r="G132" s="36">
        <v>1970</v>
      </c>
      <c r="H132" s="36">
        <v>817</v>
      </c>
      <c r="I132" s="34">
        <f>(F132-'Processing costs'!C132)*100/19200</f>
        <v>30.286458333333332</v>
      </c>
      <c r="J132" s="34">
        <f>((G132-103)-'Processing costs'!E132)*100/202700</f>
        <v>0.71386285150468676</v>
      </c>
      <c r="K132" s="34">
        <f>(G132-'Processing costs'!D132-H132*9.3%)*100/10470</f>
        <v>14.078500477554918</v>
      </c>
      <c r="L132" s="35"/>
      <c r="M132" s="36">
        <v>3890</v>
      </c>
      <c r="N132" s="36">
        <f>941.4/1.158</f>
        <v>812.9533678756477</v>
      </c>
      <c r="O132" s="36">
        <f t="shared" si="100"/>
        <v>5842.5</v>
      </c>
      <c r="P132" s="34">
        <f>(M132-'Processing costs'!G132)*100/8860</f>
        <v>39.108352144469528</v>
      </c>
      <c r="Q132" s="34">
        <f>(N132-'Processing costs'!H132)*100/16700</f>
        <v>2.1434333405727406</v>
      </c>
      <c r="R132" s="34">
        <f>(O132-'Processing costs'!I132)*100/211000</f>
        <v>2.6101895734597158</v>
      </c>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row>
    <row r="133" spans="1:45" x14ac:dyDescent="0.3">
      <c r="B133" s="42">
        <v>45870</v>
      </c>
      <c r="C133" s="37">
        <f t="shared" si="103"/>
        <v>44.753547581915868</v>
      </c>
      <c r="D133" s="37">
        <f t="shared" ref="D133" si="106">P133+Q133+R133</f>
        <v>43.255628651225621</v>
      </c>
      <c r="E133" s="35"/>
      <c r="F133" s="38">
        <v>6050</v>
      </c>
      <c r="G133" s="38">
        <v>1990</v>
      </c>
      <c r="H133" s="38">
        <v>823</v>
      </c>
      <c r="I133" s="37">
        <f>(F133-'Processing costs'!C133)*100/19200</f>
        <v>29.765625</v>
      </c>
      <c r="J133" s="37">
        <f>((G133-103)-'Processing costs'!E133)*100/202700</f>
        <v>0.72372964972866305</v>
      </c>
      <c r="K133" s="37">
        <f>(G133-'Processing costs'!D133-H133*9.3%)*100/10470</f>
        <v>14.264192932187202</v>
      </c>
      <c r="L133" s="35"/>
      <c r="M133" s="38">
        <v>3830</v>
      </c>
      <c r="N133" s="38">
        <f>960.48/1.154</f>
        <v>832.30502599653391</v>
      </c>
      <c r="O133" s="38">
        <f t="shared" si="100"/>
        <v>5747.5</v>
      </c>
      <c r="P133" s="37">
        <f>(M133-'Processing costs'!G133)*100/8860</f>
        <v>38.431151241534991</v>
      </c>
      <c r="Q133" s="37">
        <f>(N133-'Processing costs'!H133)*100/16700</f>
        <v>2.2593115329133768</v>
      </c>
      <c r="R133" s="37">
        <f>(O133-'Processing costs'!I133)*100/211000</f>
        <v>2.5651658767772512</v>
      </c>
    </row>
    <row r="134" spans="1:45" x14ac:dyDescent="0.3">
      <c r="A134" s="95" t="s">
        <v>53</v>
      </c>
      <c r="B134" s="41">
        <v>45901</v>
      </c>
      <c r="C134" s="34">
        <f t="shared" si="103"/>
        <v>41.268871458742979</v>
      </c>
      <c r="D134" s="34">
        <f t="shared" ref="D134" si="107">P134+Q134+R134</f>
        <v>38.489015676080392</v>
      </c>
      <c r="E134" s="35"/>
      <c r="F134" s="36">
        <v>5540</v>
      </c>
      <c r="G134" s="36">
        <v>1910</v>
      </c>
      <c r="H134" s="36">
        <v>851</v>
      </c>
      <c r="I134" s="34">
        <f>(F134-'Processing costs'!C134)*100/19200</f>
        <v>27.109375</v>
      </c>
      <c r="J134" s="34">
        <f>((G134-103)-'Processing costs'!E134)*100/202700</f>
        <v>0.68426245683275777</v>
      </c>
      <c r="K134" s="34">
        <f>(G134-'Processing costs'!D134-H134*9.3%)*100/10470</f>
        <v>13.47523400191022</v>
      </c>
      <c r="L134" s="35"/>
      <c r="M134" s="36">
        <v>3420</v>
      </c>
      <c r="N134" s="36">
        <f>976.32/1.1521</f>
        <v>847.42643867719823</v>
      </c>
      <c r="O134" s="36">
        <f t="shared" ref="O134:O139" si="108">F134*0.95</f>
        <v>5263</v>
      </c>
      <c r="P134" s="34">
        <f>(M134-'Processing costs'!G134)*100/8860</f>
        <v>33.803611738148987</v>
      </c>
      <c r="Q134" s="34">
        <f>(N134-'Processing costs'!H134)*100/16700</f>
        <v>2.3498589142347202</v>
      </c>
      <c r="R134" s="34">
        <f>(O134-'Processing costs'!I134)*100/211000</f>
        <v>2.3355450236966826</v>
      </c>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row>
    <row r="135" spans="1:45" x14ac:dyDescent="0.3">
      <c r="A135" s="95"/>
      <c r="B135" s="42">
        <v>45931</v>
      </c>
      <c r="C135" s="37">
        <f t="shared" ref="C135" si="109">I135+J135+K135</f>
        <v>35.873269816114259</v>
      </c>
      <c r="D135" s="37">
        <f t="shared" ref="D135" si="110">P135+Q135+R135</f>
        <v>34.694595477710436</v>
      </c>
      <c r="E135" s="35"/>
      <c r="F135" s="38">
        <v>4680</v>
      </c>
      <c r="G135" s="38">
        <v>1820</v>
      </c>
      <c r="H135" s="38">
        <v>865</v>
      </c>
      <c r="I135" s="37">
        <f>(F135-'Processing costs'!C135)*100/19200</f>
        <v>22.630208333333332</v>
      </c>
      <c r="J135" s="37">
        <f>((G135-103)-'Processing costs'!E135)*100/202700</f>
        <v>0.63986186482486429</v>
      </c>
      <c r="K135" s="37">
        <f>(G135-'Processing costs'!D135-H135*9.3%)*100/10470</f>
        <v>12.603199617956065</v>
      </c>
      <c r="L135" s="35"/>
      <c r="M135" s="38">
        <v>3110</v>
      </c>
      <c r="N135" s="38">
        <f>991.28/1.149</f>
        <v>862.73281114012184</v>
      </c>
      <c r="O135" s="38">
        <f t="shared" si="108"/>
        <v>4446</v>
      </c>
      <c r="P135" s="37">
        <f>(M135-'Processing costs'!G135)*100/8860</f>
        <v>30.304740406320541</v>
      </c>
      <c r="Q135" s="37">
        <f>(N135-'Processing costs'!H135)*100/16700</f>
        <v>2.4415138391624063</v>
      </c>
      <c r="R135" s="37">
        <f>(O135-'Processing costs'!I135)*100/211000</f>
        <v>1.9483412322274882</v>
      </c>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row>
    <row r="136" spans="1:45" x14ac:dyDescent="0.3">
      <c r="A136" s="95"/>
      <c r="B136" s="41">
        <v>45962</v>
      </c>
      <c r="C136" s="34">
        <f>I136+J136+K136</f>
        <v>33.615371738043102</v>
      </c>
      <c r="D136" s="34">
        <f>P136+Q136+R136</f>
        <v>33.028987436888812</v>
      </c>
      <c r="E136" s="35"/>
      <c r="F136" s="36">
        <v>4290</v>
      </c>
      <c r="G136" s="36">
        <v>1800</v>
      </c>
      <c r="H136" s="36">
        <v>894</v>
      </c>
      <c r="I136" s="34">
        <f>(F136-'Processing costs'!C136)*100/19200</f>
        <v>20.598958333333332</v>
      </c>
      <c r="J136" s="34">
        <f>((G136-103)-'Processing costs'!E136)*100/202700</f>
        <v>0.629995066600888</v>
      </c>
      <c r="K136" s="34">
        <f>(G136-'Processing costs'!D136-H136*9.3%)*100/10470</f>
        <v>12.386418338108882</v>
      </c>
      <c r="L136" s="35"/>
      <c r="M136" s="36">
        <v>2960</v>
      </c>
      <c r="N136" s="36">
        <f>1022.16/1.14</f>
        <v>896.63157894736844</v>
      </c>
      <c r="O136" s="36">
        <f t="shared" si="108"/>
        <v>4075.5</v>
      </c>
      <c r="P136" s="34">
        <f>(M136-'Processing costs'!G136)*100/8860</f>
        <v>28.611738148984198</v>
      </c>
      <c r="Q136" s="34">
        <f>(N136-'Processing costs'!H136)*100/16700</f>
        <v>2.6445004727387333</v>
      </c>
      <c r="R136" s="34">
        <f>(O136-'Processing costs'!I136)*100/211000</f>
        <v>1.7727488151658768</v>
      </c>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row>
    <row r="137" spans="1:45" x14ac:dyDescent="0.3">
      <c r="A137" s="95"/>
      <c r="B137" s="42">
        <v>45992</v>
      </c>
      <c r="C137" s="37">
        <f>I137+J137+K137</f>
        <v>29.879880446646958</v>
      </c>
      <c r="D137" s="37">
        <f>P137+Q137+R137</f>
        <v>31.495034571971114</v>
      </c>
      <c r="E137" s="35"/>
      <c r="F137" s="38">
        <v>3710</v>
      </c>
      <c r="G137" s="38">
        <v>1730</v>
      </c>
      <c r="H137" s="38">
        <v>907</v>
      </c>
      <c r="I137" s="37">
        <f>(F137-'Processing costs'!C137)*100/19200</f>
        <v>17.578125</v>
      </c>
      <c r="J137" s="37">
        <f>((G137-103)-'Processing costs'!E137)*100/202700</f>
        <v>0.59546127281697092</v>
      </c>
      <c r="K137" s="37">
        <f>(G137-'Processing costs'!D137-H137*9.3%)*100/10470</f>
        <v>11.70629417382999</v>
      </c>
      <c r="L137" s="35"/>
      <c r="M137" s="38">
        <v>2830</v>
      </c>
      <c r="N137" s="98">
        <f>1059.18/1.14</f>
        <v>929.10526315789491</v>
      </c>
      <c r="O137" s="38">
        <f t="shared" si="108"/>
        <v>3524.5</v>
      </c>
      <c r="P137" s="37">
        <f>(M137-'Processing costs'!G137)*100/8860</f>
        <v>27.144469525959369</v>
      </c>
      <c r="Q137" s="37">
        <f>(N137-'Processing costs'!H137)*100/16700</f>
        <v>2.8389536716041608</v>
      </c>
      <c r="R137" s="37">
        <f>(O137-'Processing costs'!I137)*100/211000</f>
        <v>1.511611374407583</v>
      </c>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row>
    <row r="138" spans="1:45" x14ac:dyDescent="0.3">
      <c r="A138" s="95"/>
      <c r="B138" s="41">
        <v>46023</v>
      </c>
      <c r="C138" s="34">
        <f>I138+J138+K138</f>
        <v>30.090977295703325</v>
      </c>
      <c r="D138" s="34">
        <f>P138+Q138+R138</f>
        <v>31.782697592174475</v>
      </c>
      <c r="E138" s="35"/>
      <c r="F138" s="36">
        <v>3600</v>
      </c>
      <c r="G138" s="36">
        <v>1810</v>
      </c>
      <c r="H138" s="36">
        <v>929</v>
      </c>
      <c r="I138" s="34">
        <f>(F138-'Processing costs'!C138)*100/19200</f>
        <v>17.005208333333332</v>
      </c>
      <c r="J138" s="34">
        <f>((G138-103)-'Processing costs'!E138)*100/202700</f>
        <v>0.6349284657128762</v>
      </c>
      <c r="K138" s="34">
        <f>(G138-'Processing costs'!D138-H138*9.3%)*100/10470</f>
        <v>12.450840496657117</v>
      </c>
      <c r="L138" s="35"/>
      <c r="M138" s="36">
        <v>2860</v>
      </c>
      <c r="N138" s="36">
        <f>1068.2/1.15</f>
        <v>928.86956521739137</v>
      </c>
      <c r="O138" s="36">
        <f t="shared" si="108"/>
        <v>3420</v>
      </c>
      <c r="P138" s="34">
        <f>(M138-'Processing costs'!G138)*100/8860</f>
        <v>27.483069977426638</v>
      </c>
      <c r="Q138" s="34">
        <f>(N138-'Processing costs'!H138)*100/16700</f>
        <v>2.8375423066909664</v>
      </c>
      <c r="R138" s="34">
        <f>(O138-'Processing costs'!I138)*100/211000</f>
        <v>1.4620853080568721</v>
      </c>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row>
    <row r="139" spans="1:45" x14ac:dyDescent="0.3">
      <c r="A139" s="95"/>
      <c r="B139" s="42">
        <v>46054</v>
      </c>
      <c r="C139" s="37">
        <f>I139+J139+K139</f>
        <v>32.75156940078049</v>
      </c>
      <c r="D139" s="37">
        <f>P139+Q139+R139</f>
        <v>32.707922571242321</v>
      </c>
      <c r="E139" s="35"/>
      <c r="F139" s="38">
        <v>3670</v>
      </c>
      <c r="G139" s="38">
        <v>2040</v>
      </c>
      <c r="H139" s="38">
        <v>945</v>
      </c>
      <c r="I139" s="37">
        <f>(F139-'Processing costs'!C139)*100/19200</f>
        <v>17.369791666666668</v>
      </c>
      <c r="J139" s="37">
        <f>((G139-103)-'Processing costs'!E139)*100/202700</f>
        <v>0.74839664528860383</v>
      </c>
      <c r="K139" s="37">
        <f>(G139-'Processing costs'!D139-H139*9.3%)*100/10470</f>
        <v>14.633381088825216</v>
      </c>
      <c r="L139" s="35"/>
      <c r="M139" s="38">
        <v>2920</v>
      </c>
      <c r="N139" s="98">
        <f>1100.13/1.14</f>
        <v>965.02631578947387</v>
      </c>
      <c r="O139" s="38">
        <f t="shared" si="108"/>
        <v>3486.5</v>
      </c>
      <c r="P139" s="37">
        <f>(M139-'Processing costs'!G139)*100/8860</f>
        <v>28.160270880361175</v>
      </c>
      <c r="Q139" s="37">
        <f>(N139-'Processing costs'!H139)*100/16700</f>
        <v>3.0540497951465504</v>
      </c>
      <c r="R139" s="37">
        <f>(O139-'Processing costs'!I139)*100/211000</f>
        <v>1.4936018957345971</v>
      </c>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row>
    <row r="140" spans="1:45" s="16" customFormat="1" x14ac:dyDescent="0.3">
      <c r="B140" s="92"/>
      <c r="C140" s="93"/>
      <c r="D140" s="93"/>
      <c r="E140" s="35"/>
      <c r="F140" s="94"/>
      <c r="G140" s="94"/>
      <c r="H140" s="94"/>
      <c r="I140" s="93"/>
      <c r="J140" s="93"/>
      <c r="K140" s="93"/>
      <c r="L140" s="35"/>
      <c r="M140" s="94"/>
      <c r="N140" s="94"/>
      <c r="O140" s="94"/>
      <c r="P140" s="93"/>
      <c r="Q140" s="93"/>
      <c r="R140" s="93"/>
    </row>
    <row r="141" spans="1:45" x14ac:dyDescent="0.3">
      <c r="A141" s="95" t="s">
        <v>63</v>
      </c>
      <c r="B141" s="16"/>
      <c r="C141" s="16"/>
      <c r="D141" s="16"/>
      <c r="E141" s="16"/>
      <c r="F141" s="24"/>
      <c r="G141" s="24"/>
      <c r="H141" s="24"/>
      <c r="I141" s="24"/>
      <c r="J141" s="24"/>
      <c r="K141" s="24"/>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row>
    <row r="142" spans="1:45" x14ac:dyDescent="0.3">
      <c r="B142" s="16"/>
      <c r="C142" s="16"/>
      <c r="D142" s="16"/>
      <c r="E142" s="16"/>
      <c r="F142" s="24"/>
      <c r="G142" s="24"/>
      <c r="H142" s="24"/>
      <c r="I142" s="24"/>
      <c r="J142" s="24"/>
      <c r="K142" s="24"/>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row>
    <row r="143" spans="1:45" x14ac:dyDescent="0.3">
      <c r="B143" s="16"/>
      <c r="C143" s="16"/>
      <c r="D143" s="16"/>
      <c r="E143" s="16"/>
      <c r="F143" s="24"/>
      <c r="G143" s="24"/>
      <c r="H143" s="24"/>
      <c r="I143" s="24"/>
      <c r="J143" s="24"/>
      <c r="K143" s="24"/>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row>
    <row r="144" spans="1:45" x14ac:dyDescent="0.3">
      <c r="B144" s="16"/>
      <c r="C144" s="97"/>
      <c r="D144" s="97"/>
      <c r="E144" s="16"/>
      <c r="F144" s="24"/>
      <c r="G144" s="24"/>
      <c r="H144" s="24"/>
      <c r="I144" s="24"/>
      <c r="J144" s="24"/>
      <c r="K144" s="24"/>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row>
    <row r="145" spans="2:45" x14ac:dyDescent="0.3">
      <c r="B145" s="16"/>
      <c r="C145" s="16"/>
      <c r="D145" s="16"/>
      <c r="E145" s="16"/>
      <c r="F145" s="24"/>
      <c r="G145" s="24"/>
      <c r="H145" s="24"/>
      <c r="I145" s="24"/>
      <c r="J145" s="24"/>
      <c r="K145" s="24"/>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row>
    <row r="146" spans="2:45" x14ac:dyDescent="0.3">
      <c r="B146" s="16"/>
      <c r="C146" s="16"/>
      <c r="D146" s="16"/>
      <c r="E146" s="16"/>
      <c r="F146" s="24"/>
      <c r="G146" s="24"/>
      <c r="H146" s="24"/>
      <c r="I146" s="24"/>
      <c r="J146" s="24"/>
      <c r="K146" s="24"/>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row>
    <row r="147" spans="2:45" x14ac:dyDescent="0.3">
      <c r="B147" s="16"/>
      <c r="C147" s="16"/>
      <c r="D147" s="16"/>
      <c r="E147" s="16"/>
      <c r="F147" s="24"/>
      <c r="G147" s="24"/>
      <c r="H147" s="24"/>
      <c r="I147" s="24"/>
      <c r="J147" s="24"/>
      <c r="K147" s="24"/>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row>
    <row r="148" spans="2:45" x14ac:dyDescent="0.3">
      <c r="B148" s="16"/>
      <c r="C148" s="16"/>
      <c r="D148" s="16"/>
      <c r="E148" s="16"/>
      <c r="F148" s="24"/>
      <c r="G148" s="24"/>
      <c r="H148" s="24"/>
      <c r="I148" s="24"/>
      <c r="J148" s="24"/>
      <c r="K148" s="24"/>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row>
    <row r="149" spans="2:45" x14ac:dyDescent="0.3">
      <c r="B149" s="16"/>
      <c r="C149" s="16"/>
      <c r="D149" s="16"/>
      <c r="E149" s="16"/>
      <c r="F149" s="24"/>
      <c r="G149" s="24"/>
      <c r="H149" s="24"/>
      <c r="I149" s="24"/>
      <c r="J149" s="24"/>
      <c r="K149" s="24"/>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row>
    <row r="150" spans="2:45" x14ac:dyDescent="0.3">
      <c r="B150" s="16"/>
      <c r="C150" s="16"/>
      <c r="D150" s="16"/>
      <c r="E150" s="16"/>
      <c r="F150" s="24"/>
      <c r="G150" s="24"/>
      <c r="H150" s="24"/>
      <c r="I150" s="24"/>
      <c r="J150" s="24"/>
      <c r="K150" s="24"/>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row>
    <row r="151" spans="2:45" x14ac:dyDescent="0.3">
      <c r="B151" s="16"/>
      <c r="C151" s="16"/>
      <c r="D151" s="16"/>
      <c r="E151" s="16"/>
      <c r="F151" s="24"/>
      <c r="G151" s="24"/>
      <c r="H151" s="24"/>
      <c r="I151" s="24"/>
      <c r="J151" s="24"/>
      <c r="K151" s="24"/>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row>
    <row r="152" spans="2:45" x14ac:dyDescent="0.3">
      <c r="B152" s="16"/>
      <c r="C152" s="16"/>
      <c r="D152" s="16"/>
      <c r="E152" s="16"/>
      <c r="F152" s="24"/>
      <c r="G152" s="24"/>
      <c r="H152" s="24"/>
      <c r="I152" s="24"/>
      <c r="J152" s="24"/>
      <c r="K152" s="24"/>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row>
    <row r="153" spans="2:45" x14ac:dyDescent="0.3">
      <c r="B153" s="16"/>
      <c r="C153" s="16"/>
      <c r="D153" s="16"/>
      <c r="E153" s="16"/>
      <c r="F153" s="24"/>
      <c r="G153" s="24"/>
      <c r="H153" s="24"/>
      <c r="I153" s="24"/>
      <c r="J153" s="24"/>
      <c r="K153" s="24"/>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row>
    <row r="154" spans="2:45" x14ac:dyDescent="0.3">
      <c r="B154" s="16"/>
      <c r="C154" s="16"/>
      <c r="D154" s="16"/>
      <c r="E154" s="16"/>
      <c r="F154" s="24"/>
      <c r="G154" s="24"/>
      <c r="H154" s="24"/>
      <c r="I154" s="24"/>
      <c r="J154" s="24"/>
      <c r="K154" s="24"/>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row>
    <row r="155" spans="2:45" x14ac:dyDescent="0.3">
      <c r="B155" s="16"/>
      <c r="C155" s="16"/>
      <c r="D155" s="16"/>
      <c r="E155" s="16"/>
      <c r="F155" s="24"/>
      <c r="G155" s="24"/>
      <c r="H155" s="24"/>
      <c r="I155" s="24"/>
      <c r="J155" s="24"/>
      <c r="K155" s="24"/>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row>
    <row r="156" spans="2:45" x14ac:dyDescent="0.3">
      <c r="B156" s="16"/>
      <c r="C156" s="16"/>
      <c r="D156" s="16"/>
      <c r="E156" s="16"/>
      <c r="F156" s="24"/>
      <c r="G156" s="24"/>
      <c r="H156" s="24"/>
      <c r="I156" s="24"/>
      <c r="J156" s="24"/>
      <c r="K156" s="24"/>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row>
    <row r="157" spans="2:45" x14ac:dyDescent="0.3">
      <c r="B157" s="16"/>
      <c r="C157" s="16"/>
      <c r="D157" s="16"/>
      <c r="E157" s="16"/>
      <c r="F157" s="24"/>
      <c r="G157" s="24"/>
      <c r="H157" s="24"/>
      <c r="I157" s="24"/>
      <c r="J157" s="24"/>
      <c r="K157" s="24"/>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row>
    <row r="158" spans="2:45" x14ac:dyDescent="0.3">
      <c r="B158" s="16"/>
      <c r="C158" s="16"/>
      <c r="D158" s="16"/>
      <c r="E158" s="16"/>
      <c r="F158" s="24"/>
      <c r="G158" s="24"/>
      <c r="H158" s="24"/>
      <c r="I158" s="24"/>
      <c r="J158" s="24"/>
      <c r="K158" s="24"/>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row>
    <row r="159" spans="2:45" x14ac:dyDescent="0.3">
      <c r="B159" s="16"/>
      <c r="C159" s="16"/>
      <c r="D159" s="16"/>
      <c r="E159" s="16"/>
      <c r="F159" s="24"/>
      <c r="G159" s="24"/>
      <c r="H159" s="24"/>
      <c r="I159" s="24"/>
      <c r="J159" s="24"/>
      <c r="K159" s="24"/>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row>
    <row r="160" spans="2:45" x14ac:dyDescent="0.3">
      <c r="B160" s="16"/>
      <c r="C160" s="16"/>
      <c r="D160" s="16"/>
      <c r="E160" s="16"/>
      <c r="F160" s="24"/>
      <c r="G160" s="24"/>
      <c r="H160" s="24"/>
      <c r="I160" s="24"/>
      <c r="J160" s="24"/>
      <c r="K160" s="24"/>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row>
    <row r="161" spans="2:45" x14ac:dyDescent="0.3">
      <c r="B161" s="16"/>
      <c r="C161" s="16"/>
      <c r="D161" s="16"/>
      <c r="E161" s="16"/>
      <c r="F161" s="24"/>
      <c r="G161" s="24"/>
      <c r="H161" s="24"/>
      <c r="I161" s="24"/>
      <c r="J161" s="24"/>
      <c r="K161" s="24"/>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row>
    <row r="162" spans="2:45" x14ac:dyDescent="0.3">
      <c r="B162" s="16"/>
      <c r="C162" s="16"/>
      <c r="D162" s="16"/>
      <c r="E162" s="16"/>
      <c r="F162" s="24"/>
      <c r="G162" s="24"/>
      <c r="H162" s="24"/>
      <c r="I162" s="24"/>
      <c r="J162" s="24"/>
      <c r="K162" s="24"/>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row>
    <row r="163" spans="2:45" x14ac:dyDescent="0.3">
      <c r="B163" s="16"/>
      <c r="C163" s="16"/>
      <c r="D163" s="16"/>
      <c r="E163" s="16"/>
      <c r="F163" s="24"/>
      <c r="G163" s="24"/>
      <c r="H163" s="24"/>
      <c r="I163" s="24"/>
      <c r="J163" s="24"/>
      <c r="K163" s="24"/>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row>
    <row r="164" spans="2:45" x14ac:dyDescent="0.3">
      <c r="B164" s="16"/>
      <c r="C164" s="16"/>
      <c r="D164" s="16"/>
      <c r="E164" s="16"/>
      <c r="F164" s="24"/>
      <c r="G164" s="24"/>
      <c r="H164" s="24"/>
      <c r="I164" s="24"/>
      <c r="J164" s="24"/>
      <c r="K164" s="24"/>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row>
    <row r="165" spans="2:45" x14ac:dyDescent="0.3">
      <c r="B165" s="16"/>
      <c r="C165" s="16"/>
      <c r="D165" s="16"/>
      <c r="E165" s="16"/>
      <c r="F165" s="24"/>
      <c r="G165" s="24"/>
      <c r="H165" s="24"/>
      <c r="I165" s="24"/>
      <c r="J165" s="24"/>
      <c r="K165" s="24"/>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row>
    <row r="166" spans="2:45" x14ac:dyDescent="0.3">
      <c r="B166" s="16"/>
      <c r="C166" s="16"/>
      <c r="D166" s="16"/>
      <c r="E166" s="16"/>
      <c r="F166" s="24"/>
      <c r="G166" s="24"/>
      <c r="H166" s="24"/>
      <c r="I166" s="24"/>
      <c r="J166" s="24"/>
      <c r="K166" s="24"/>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row>
    <row r="167" spans="2:45" x14ac:dyDescent="0.3">
      <c r="B167" s="16"/>
      <c r="C167" s="16"/>
      <c r="D167" s="16"/>
      <c r="E167" s="16"/>
      <c r="F167" s="24"/>
      <c r="G167" s="24"/>
      <c r="H167" s="24"/>
      <c r="I167" s="24"/>
      <c r="J167" s="24"/>
      <c r="K167" s="24" t="e">
        <f>#REF!-#REF!</f>
        <v>#REF!</v>
      </c>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row>
    <row r="168" spans="2:45" x14ac:dyDescent="0.3">
      <c r="B168" s="16"/>
      <c r="C168" s="16"/>
      <c r="D168" s="16"/>
      <c r="E168" s="16"/>
      <c r="F168" s="24"/>
      <c r="G168" s="24"/>
      <c r="H168" s="24"/>
      <c r="I168" s="24"/>
      <c r="J168" s="24"/>
      <c r="K168" s="24"/>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row>
    <row r="169" spans="2:45" x14ac:dyDescent="0.3">
      <c r="B169" s="16"/>
      <c r="C169" s="16"/>
      <c r="D169" s="16"/>
      <c r="E169" s="16"/>
      <c r="F169" s="24"/>
      <c r="G169" s="24"/>
      <c r="H169" s="24"/>
      <c r="I169" s="24"/>
      <c r="J169" s="24"/>
      <c r="K169" s="24"/>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row>
    <row r="170" spans="2:45" x14ac:dyDescent="0.3">
      <c r="B170" s="16"/>
      <c r="C170" s="16"/>
      <c r="D170" s="16"/>
      <c r="E170" s="16"/>
      <c r="F170" s="24"/>
      <c r="G170" s="24"/>
      <c r="H170" s="24"/>
      <c r="I170" s="24"/>
      <c r="J170" s="24"/>
      <c r="K170" s="24"/>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row>
    <row r="171" spans="2:45" x14ac:dyDescent="0.3">
      <c r="B171" s="16"/>
      <c r="C171" s="16"/>
      <c r="D171" s="16"/>
      <c r="E171" s="16"/>
      <c r="F171" s="24"/>
      <c r="G171" s="24"/>
      <c r="H171" s="24"/>
      <c r="I171" s="24"/>
      <c r="J171" s="24"/>
      <c r="K171" s="24"/>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row>
    <row r="172" spans="2:45" x14ac:dyDescent="0.3">
      <c r="B172" s="16"/>
      <c r="C172" s="16"/>
      <c r="D172" s="16"/>
      <c r="E172" s="16"/>
      <c r="F172" s="24"/>
      <c r="G172" s="24"/>
      <c r="H172" s="24"/>
      <c r="I172" s="24"/>
      <c r="J172" s="24"/>
      <c r="K172" s="24"/>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row>
    <row r="173" spans="2:45" x14ac:dyDescent="0.3">
      <c r="B173" s="16"/>
      <c r="C173" s="16"/>
      <c r="D173" s="16"/>
      <c r="E173" s="16"/>
      <c r="F173" s="24"/>
      <c r="G173" s="24"/>
      <c r="H173" s="24"/>
      <c r="I173" s="24"/>
      <c r="J173" s="24"/>
      <c r="K173" s="24"/>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row>
    <row r="174" spans="2:45" x14ac:dyDescent="0.3">
      <c r="B174" s="16"/>
      <c r="C174" s="16"/>
      <c r="D174" s="16"/>
      <c r="E174" s="16"/>
      <c r="F174" s="24"/>
      <c r="G174" s="24"/>
      <c r="H174" s="24"/>
      <c r="I174" s="24"/>
      <c r="J174" s="24"/>
      <c r="K174" s="24"/>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row>
    <row r="175" spans="2:45" x14ac:dyDescent="0.3">
      <c r="B175" s="16"/>
      <c r="C175" s="16"/>
      <c r="D175" s="16"/>
      <c r="E175" s="16"/>
      <c r="F175" s="24"/>
      <c r="G175" s="24"/>
      <c r="H175" s="24"/>
      <c r="I175" s="24"/>
      <c r="J175" s="24"/>
      <c r="K175" s="24"/>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row>
    <row r="176" spans="2:45" x14ac:dyDescent="0.3">
      <c r="B176" s="16"/>
      <c r="C176" s="16"/>
      <c r="D176" s="16"/>
      <c r="E176" s="16"/>
      <c r="F176" s="24"/>
      <c r="G176" s="24"/>
      <c r="H176" s="24"/>
      <c r="I176" s="24"/>
      <c r="J176" s="24"/>
      <c r="K176" s="24"/>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row>
    <row r="177" spans="2:45" x14ac:dyDescent="0.3">
      <c r="B177" s="16"/>
      <c r="C177" s="16"/>
      <c r="D177" s="16"/>
      <c r="E177" s="16"/>
      <c r="F177" s="24"/>
      <c r="G177" s="24"/>
      <c r="H177" s="24"/>
      <c r="I177" s="24"/>
      <c r="J177" s="24"/>
      <c r="K177" s="24"/>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row>
    <row r="178" spans="2:45" x14ac:dyDescent="0.3">
      <c r="B178" s="16"/>
      <c r="C178" s="16"/>
      <c r="D178" s="16"/>
      <c r="E178" s="16"/>
      <c r="F178" s="24"/>
      <c r="G178" s="24"/>
      <c r="H178" s="24"/>
      <c r="I178" s="24"/>
      <c r="J178" s="24"/>
      <c r="K178" s="24"/>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row>
    <row r="179" spans="2:45" x14ac:dyDescent="0.3">
      <c r="B179" s="16"/>
      <c r="C179" s="16"/>
      <c r="D179" s="16"/>
      <c r="E179" s="16"/>
      <c r="F179" s="24"/>
      <c r="G179" s="24"/>
      <c r="H179" s="24"/>
      <c r="I179" s="24"/>
      <c r="J179" s="24"/>
      <c r="K179" s="24"/>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row>
    <row r="180" spans="2:45" x14ac:dyDescent="0.3">
      <c r="B180" s="16"/>
      <c r="C180" s="16"/>
      <c r="D180" s="16"/>
      <c r="E180" s="16"/>
      <c r="F180" s="24"/>
      <c r="G180" s="24"/>
      <c r="H180" s="24"/>
      <c r="I180" s="24"/>
      <c r="J180" s="24"/>
      <c r="K180" s="24"/>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row>
    <row r="181" spans="2:45" x14ac:dyDescent="0.3">
      <c r="B181" s="16"/>
      <c r="C181" s="16"/>
      <c r="D181" s="16"/>
      <c r="E181" s="16"/>
      <c r="F181" s="24"/>
      <c r="G181" s="24"/>
      <c r="H181" s="24"/>
      <c r="I181" s="24"/>
      <c r="J181" s="24"/>
      <c r="K181" s="24"/>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row>
    <row r="182" spans="2:45" x14ac:dyDescent="0.3">
      <c r="B182" s="16"/>
      <c r="C182" s="16"/>
      <c r="D182" s="16"/>
      <c r="E182" s="16"/>
      <c r="F182" s="24"/>
      <c r="G182" s="24"/>
      <c r="H182" s="24"/>
      <c r="I182" s="24"/>
      <c r="J182" s="24"/>
      <c r="K182" s="24"/>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row>
    <row r="183" spans="2:45" x14ac:dyDescent="0.3">
      <c r="B183" s="16"/>
      <c r="C183" s="16"/>
      <c r="D183" s="16"/>
      <c r="E183" s="16"/>
      <c r="F183" s="24"/>
      <c r="G183" s="24"/>
      <c r="H183" s="24"/>
      <c r="I183" s="24"/>
      <c r="J183" s="24"/>
      <c r="K183" s="24"/>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row>
    <row r="184" spans="2:45" x14ac:dyDescent="0.3">
      <c r="B184" s="16"/>
      <c r="C184" s="16"/>
      <c r="D184" s="16"/>
      <c r="E184" s="16"/>
      <c r="F184" s="24"/>
      <c r="G184" s="24"/>
      <c r="H184" s="24"/>
      <c r="I184" s="24"/>
      <c r="J184" s="24"/>
      <c r="K184" s="24"/>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row>
    <row r="185" spans="2:45" x14ac:dyDescent="0.3">
      <c r="B185" s="16"/>
      <c r="C185" s="16"/>
      <c r="D185" s="16"/>
      <c r="E185" s="16"/>
      <c r="F185" s="24"/>
      <c r="G185" s="24"/>
      <c r="H185" s="24"/>
      <c r="I185" s="24"/>
      <c r="J185" s="24"/>
      <c r="K185" s="24"/>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row>
    <row r="186" spans="2:45" x14ac:dyDescent="0.3">
      <c r="B186" s="16"/>
      <c r="C186" s="16"/>
      <c r="D186" s="16"/>
      <c r="E186" s="16"/>
      <c r="F186" s="24"/>
      <c r="G186" s="24"/>
      <c r="H186" s="24"/>
      <c r="I186" s="24"/>
      <c r="J186" s="24"/>
      <c r="K186" s="24"/>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row>
    <row r="187" spans="2:45" x14ac:dyDescent="0.3">
      <c r="B187" s="16"/>
      <c r="C187" s="16"/>
      <c r="D187" s="16"/>
      <c r="E187" s="16"/>
      <c r="F187" s="24"/>
      <c r="G187" s="24"/>
      <c r="H187" s="24"/>
      <c r="I187" s="24"/>
      <c r="J187" s="24"/>
      <c r="K187" s="24"/>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row>
    <row r="188" spans="2:45" x14ac:dyDescent="0.3">
      <c r="B188" s="16"/>
      <c r="C188" s="16"/>
      <c r="D188" s="16"/>
      <c r="E188" s="16"/>
      <c r="F188" s="24"/>
      <c r="G188" s="24"/>
      <c r="H188" s="24"/>
      <c r="I188" s="24"/>
      <c r="J188" s="24"/>
      <c r="K188" s="24"/>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row>
    <row r="189" spans="2:45" x14ac:dyDescent="0.3">
      <c r="B189" s="16"/>
      <c r="C189" s="16"/>
      <c r="D189" s="16"/>
      <c r="E189" s="16"/>
      <c r="F189" s="24"/>
      <c r="G189" s="24"/>
      <c r="H189" s="24"/>
      <c r="I189" s="24"/>
      <c r="J189" s="24"/>
      <c r="K189" s="24"/>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row>
    <row r="190" spans="2:45" x14ac:dyDescent="0.3">
      <c r="B190" s="16"/>
      <c r="C190" s="16"/>
      <c r="D190" s="16"/>
      <c r="E190" s="16"/>
      <c r="F190" s="24"/>
      <c r="G190" s="24"/>
      <c r="H190" s="24"/>
      <c r="I190" s="24"/>
      <c r="J190" s="24"/>
      <c r="K190" s="24"/>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row>
    <row r="191" spans="2:45" x14ac:dyDescent="0.3">
      <c r="B191" s="16"/>
      <c r="C191" s="16"/>
      <c r="D191" s="16"/>
      <c r="E191" s="16"/>
      <c r="F191" s="24"/>
      <c r="G191" s="24"/>
      <c r="H191" s="24"/>
      <c r="I191" s="24"/>
      <c r="J191" s="24"/>
      <c r="K191" s="24"/>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row>
    <row r="192" spans="2:45" x14ac:dyDescent="0.3">
      <c r="B192" s="16"/>
      <c r="C192" s="16"/>
      <c r="D192" s="16"/>
      <c r="E192" s="16"/>
      <c r="F192" s="24"/>
      <c r="G192" s="24"/>
      <c r="H192" s="24"/>
      <c r="I192" s="24"/>
      <c r="J192" s="24"/>
      <c r="K192" s="24"/>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row>
    <row r="193" spans="2:45" x14ac:dyDescent="0.3">
      <c r="B193" s="16"/>
      <c r="C193" s="16"/>
      <c r="D193" s="16"/>
      <c r="E193" s="16"/>
      <c r="F193" s="24"/>
      <c r="G193" s="24"/>
      <c r="H193" s="24"/>
      <c r="I193" s="24"/>
      <c r="J193" s="24"/>
      <c r="K193" s="24"/>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row>
    <row r="194" spans="2:45" x14ac:dyDescent="0.3">
      <c r="B194" s="16"/>
      <c r="C194" s="16"/>
      <c r="D194" s="16"/>
      <c r="E194" s="16"/>
      <c r="F194" s="24"/>
      <c r="G194" s="24"/>
      <c r="H194" s="24"/>
      <c r="I194" s="24"/>
      <c r="J194" s="24"/>
      <c r="K194" s="24"/>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row>
    <row r="195" spans="2:45" x14ac:dyDescent="0.3">
      <c r="B195" s="16"/>
      <c r="C195" s="16"/>
      <c r="D195" s="16"/>
      <c r="E195" s="16"/>
      <c r="F195" s="24"/>
      <c r="G195" s="24"/>
      <c r="H195" s="24"/>
      <c r="I195" s="24"/>
      <c r="J195" s="24"/>
      <c r="K195" s="24"/>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row>
    <row r="196" spans="2:45" x14ac:dyDescent="0.3">
      <c r="B196" s="16"/>
      <c r="C196" s="16"/>
      <c r="D196" s="16"/>
      <c r="E196" s="16"/>
      <c r="F196" s="24"/>
      <c r="G196" s="24"/>
      <c r="H196" s="24"/>
      <c r="I196" s="24"/>
      <c r="J196" s="24"/>
      <c r="K196" s="24"/>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row>
    <row r="197" spans="2:45" x14ac:dyDescent="0.3">
      <c r="B197" s="16"/>
      <c r="C197" s="16"/>
      <c r="D197" s="16"/>
      <c r="E197" s="16"/>
      <c r="F197" s="24"/>
      <c r="G197" s="24"/>
      <c r="H197" s="24"/>
      <c r="I197" s="24"/>
      <c r="J197" s="24"/>
      <c r="K197" s="24"/>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row>
    <row r="198" spans="2:45" x14ac:dyDescent="0.3">
      <c r="B198" s="16"/>
      <c r="C198" s="16"/>
      <c r="D198" s="16"/>
      <c r="E198" s="16"/>
      <c r="F198" s="24"/>
      <c r="G198" s="24"/>
      <c r="H198" s="24"/>
      <c r="I198" s="24"/>
      <c r="J198" s="24"/>
      <c r="K198" s="24"/>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row>
    <row r="199" spans="2:45" x14ac:dyDescent="0.3">
      <c r="B199" s="16"/>
      <c r="C199" s="16"/>
      <c r="D199" s="16"/>
      <c r="E199" s="16"/>
      <c r="F199" s="24"/>
      <c r="G199" s="24"/>
      <c r="H199" s="24"/>
      <c r="I199" s="24"/>
      <c r="J199" s="24"/>
      <c r="K199" s="24"/>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row>
    <row r="200" spans="2:45" x14ac:dyDescent="0.3">
      <c r="B200" s="16"/>
      <c r="C200" s="16"/>
      <c r="D200" s="16"/>
      <c r="E200" s="16"/>
      <c r="F200" s="24"/>
      <c r="G200" s="24"/>
      <c r="H200" s="24"/>
      <c r="I200" s="24"/>
      <c r="J200" s="24"/>
      <c r="K200" s="24"/>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row>
    <row r="201" spans="2:45" x14ac:dyDescent="0.3">
      <c r="B201" s="16"/>
      <c r="C201" s="16"/>
      <c r="D201" s="16"/>
      <c r="E201" s="16"/>
      <c r="F201" s="24"/>
      <c r="G201" s="24"/>
      <c r="H201" s="24"/>
      <c r="I201" s="24"/>
      <c r="J201" s="24"/>
      <c r="K201" s="24"/>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row>
    <row r="202" spans="2:45" x14ac:dyDescent="0.3">
      <c r="B202" s="16"/>
      <c r="C202" s="16"/>
      <c r="D202" s="16"/>
      <c r="E202" s="16"/>
      <c r="F202" s="24"/>
      <c r="G202" s="24"/>
      <c r="H202" s="24"/>
      <c r="I202" s="24"/>
      <c r="J202" s="24"/>
      <c r="K202" s="24"/>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row>
    <row r="203" spans="2:45" x14ac:dyDescent="0.3">
      <c r="B203" s="16"/>
      <c r="C203" s="16"/>
      <c r="D203" s="16"/>
      <c r="E203" s="16"/>
      <c r="F203" s="24"/>
      <c r="G203" s="24"/>
      <c r="H203" s="24"/>
      <c r="I203" s="24"/>
      <c r="J203" s="24"/>
      <c r="K203" s="24"/>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row>
    <row r="204" spans="2:45" x14ac:dyDescent="0.3">
      <c r="B204" s="16"/>
      <c r="C204" s="16"/>
      <c r="D204" s="16"/>
      <c r="E204" s="16"/>
      <c r="F204" s="24"/>
      <c r="G204" s="24"/>
      <c r="H204" s="24"/>
      <c r="I204" s="24"/>
      <c r="J204" s="24"/>
      <c r="K204" s="24"/>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row>
    <row r="205" spans="2:45" x14ac:dyDescent="0.3">
      <c r="B205" s="16"/>
      <c r="C205" s="16"/>
      <c r="D205" s="16"/>
      <c r="E205" s="16"/>
      <c r="F205" s="24"/>
      <c r="G205" s="24"/>
      <c r="H205" s="24"/>
      <c r="I205" s="24"/>
      <c r="J205" s="24"/>
      <c r="K205" s="24"/>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row>
    <row r="206" spans="2:45" x14ac:dyDescent="0.3">
      <c r="B206" s="16"/>
      <c r="C206" s="16"/>
      <c r="D206" s="16"/>
      <c r="E206" s="16"/>
      <c r="F206" s="24"/>
      <c r="G206" s="24"/>
      <c r="H206" s="24"/>
      <c r="I206" s="24"/>
      <c r="J206" s="24"/>
      <c r="K206" s="24"/>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row>
    <row r="207" spans="2:45" x14ac:dyDescent="0.3">
      <c r="B207" s="16"/>
      <c r="C207" s="16"/>
      <c r="D207" s="16"/>
      <c r="E207" s="16"/>
      <c r="F207" s="24"/>
      <c r="G207" s="24"/>
      <c r="H207" s="24"/>
      <c r="I207" s="24"/>
      <c r="J207" s="24"/>
      <c r="K207" s="24"/>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row>
    <row r="208" spans="2:45" x14ac:dyDescent="0.3">
      <c r="B208" s="16"/>
      <c r="C208" s="16"/>
      <c r="D208" s="16"/>
      <c r="E208" s="16"/>
      <c r="F208" s="24"/>
      <c r="G208" s="24"/>
      <c r="H208" s="24"/>
      <c r="I208" s="24"/>
      <c r="J208" s="24"/>
      <c r="K208" s="24"/>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row>
    <row r="209" spans="2:45" x14ac:dyDescent="0.3">
      <c r="B209" s="16"/>
      <c r="C209" s="16"/>
      <c r="D209" s="16"/>
      <c r="E209" s="16"/>
      <c r="F209" s="24"/>
      <c r="G209" s="24"/>
      <c r="H209" s="24"/>
      <c r="I209" s="24"/>
      <c r="J209" s="24"/>
      <c r="K209" s="24"/>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row>
    <row r="210" spans="2:45" x14ac:dyDescent="0.3">
      <c r="B210" s="16"/>
      <c r="C210" s="16"/>
      <c r="D210" s="16"/>
      <c r="E210" s="16"/>
      <c r="F210" s="24"/>
      <c r="G210" s="24"/>
      <c r="H210" s="24"/>
      <c r="I210" s="24"/>
      <c r="J210" s="24"/>
      <c r="K210" s="24"/>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row>
    <row r="211" spans="2:45" x14ac:dyDescent="0.3">
      <c r="B211" s="16"/>
      <c r="C211" s="16"/>
      <c r="D211" s="16"/>
      <c r="E211" s="16"/>
      <c r="F211" s="24"/>
      <c r="G211" s="24"/>
      <c r="H211" s="24"/>
      <c r="I211" s="24"/>
      <c r="J211" s="24"/>
      <c r="K211" s="24"/>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row>
    <row r="212" spans="2:45" x14ac:dyDescent="0.3">
      <c r="B212" s="16"/>
      <c r="C212" s="16"/>
      <c r="D212" s="16"/>
      <c r="E212" s="16"/>
      <c r="F212" s="24"/>
      <c r="G212" s="24"/>
      <c r="H212" s="24"/>
      <c r="I212" s="24"/>
      <c r="J212" s="24"/>
      <c r="K212" s="24"/>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row>
    <row r="213" spans="2:45" x14ac:dyDescent="0.3">
      <c r="B213" s="16"/>
      <c r="C213" s="16"/>
      <c r="D213" s="16"/>
      <c r="E213" s="16"/>
      <c r="F213" s="24"/>
      <c r="G213" s="24"/>
      <c r="H213" s="24"/>
      <c r="I213" s="24"/>
      <c r="J213" s="24"/>
      <c r="K213" s="24"/>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row>
    <row r="214" spans="2:45" x14ac:dyDescent="0.3">
      <c r="B214" s="16"/>
      <c r="C214" s="16"/>
      <c r="D214" s="16"/>
      <c r="E214" s="16"/>
      <c r="F214" s="24"/>
      <c r="G214" s="24"/>
      <c r="H214" s="24"/>
      <c r="I214" s="24"/>
      <c r="J214" s="24"/>
      <c r="K214" s="24"/>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row>
    <row r="215" spans="2:45" x14ac:dyDescent="0.3">
      <c r="B215" s="16"/>
      <c r="C215" s="16"/>
      <c r="D215" s="16"/>
      <c r="E215" s="16"/>
      <c r="F215" s="24"/>
      <c r="G215" s="24"/>
      <c r="H215" s="24"/>
      <c r="I215" s="24"/>
      <c r="J215" s="24"/>
      <c r="K215" s="24"/>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row>
    <row r="216" spans="2:45" x14ac:dyDescent="0.3">
      <c r="B216" s="16"/>
      <c r="C216" s="16"/>
      <c r="D216" s="16"/>
      <c r="E216" s="16"/>
      <c r="F216" s="24"/>
      <c r="G216" s="24"/>
      <c r="H216" s="24"/>
      <c r="I216" s="24"/>
      <c r="J216" s="24"/>
      <c r="K216" s="24"/>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row>
    <row r="217" spans="2:45" x14ac:dyDescent="0.3">
      <c r="B217" s="16"/>
      <c r="C217" s="16"/>
      <c r="D217" s="16"/>
      <c r="E217" s="16"/>
      <c r="F217" s="24"/>
      <c r="G217" s="24"/>
      <c r="H217" s="24"/>
      <c r="I217" s="24"/>
      <c r="J217" s="24"/>
      <c r="K217" s="24"/>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row>
    <row r="218" spans="2:45" x14ac:dyDescent="0.3">
      <c r="B218" s="16"/>
      <c r="C218" s="16"/>
      <c r="D218" s="16"/>
      <c r="E218" s="16"/>
      <c r="F218" s="24"/>
      <c r="G218" s="24"/>
      <c r="H218" s="24"/>
      <c r="I218" s="24"/>
      <c r="J218" s="24"/>
      <c r="K218" s="24"/>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row>
    <row r="219" spans="2:45" x14ac:dyDescent="0.3">
      <c r="B219" s="16"/>
      <c r="C219" s="16"/>
      <c r="D219" s="16"/>
      <c r="E219" s="16"/>
      <c r="F219" s="24"/>
      <c r="G219" s="24"/>
      <c r="H219" s="24"/>
      <c r="I219" s="24"/>
      <c r="J219" s="24"/>
      <c r="K219" s="24"/>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row>
    <row r="220" spans="2:45" x14ac:dyDescent="0.3">
      <c r="B220" s="16"/>
      <c r="C220" s="16"/>
      <c r="D220" s="16"/>
      <c r="E220" s="16"/>
      <c r="F220" s="24"/>
      <c r="G220" s="24"/>
      <c r="H220" s="24"/>
      <c r="I220" s="24"/>
      <c r="J220" s="24"/>
      <c r="K220" s="24"/>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row>
    <row r="221" spans="2:45" x14ac:dyDescent="0.3">
      <c r="B221" s="16"/>
      <c r="C221" s="16"/>
      <c r="D221" s="16"/>
      <c r="E221" s="16"/>
      <c r="F221" s="24"/>
      <c r="G221" s="24"/>
      <c r="H221" s="24"/>
      <c r="I221" s="24"/>
      <c r="J221" s="24"/>
      <c r="K221" s="24"/>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row>
    <row r="222" spans="2:45" x14ac:dyDescent="0.3">
      <c r="B222" s="16"/>
      <c r="C222" s="16"/>
      <c r="D222" s="16"/>
      <c r="E222" s="16"/>
      <c r="F222" s="24"/>
      <c r="G222" s="24"/>
      <c r="H222" s="24"/>
      <c r="I222" s="24"/>
      <c r="J222" s="24"/>
      <c r="K222" s="24"/>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row>
    <row r="223" spans="2:45" x14ac:dyDescent="0.3">
      <c r="B223" s="16"/>
      <c r="C223" s="16"/>
      <c r="D223" s="16"/>
      <c r="E223" s="16"/>
      <c r="F223" s="24"/>
      <c r="G223" s="24"/>
      <c r="H223" s="24"/>
      <c r="I223" s="24"/>
      <c r="J223" s="24"/>
      <c r="K223" s="24"/>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row>
    <row r="224" spans="2:45" x14ac:dyDescent="0.3">
      <c r="B224" s="16"/>
      <c r="C224" s="16"/>
      <c r="D224" s="16"/>
      <c r="E224" s="16"/>
      <c r="F224" s="24"/>
      <c r="G224" s="24"/>
      <c r="H224" s="24"/>
      <c r="I224" s="24"/>
      <c r="J224" s="24"/>
      <c r="K224" s="24"/>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row>
    <row r="225" spans="2:45" x14ac:dyDescent="0.3">
      <c r="B225" s="16"/>
      <c r="C225" s="16"/>
      <c r="D225" s="16"/>
      <c r="E225" s="16"/>
      <c r="F225" s="24"/>
      <c r="G225" s="24"/>
      <c r="H225" s="24"/>
      <c r="I225" s="24"/>
      <c r="J225" s="24"/>
      <c r="K225" s="24"/>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row>
    <row r="226" spans="2:45" x14ac:dyDescent="0.3">
      <c r="B226" s="16"/>
      <c r="C226" s="16"/>
      <c r="D226" s="16"/>
      <c r="E226" s="16"/>
      <c r="F226" s="24"/>
      <c r="G226" s="24"/>
      <c r="H226" s="24"/>
      <c r="I226" s="24"/>
      <c r="J226" s="24"/>
      <c r="K226" s="24"/>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row>
    <row r="227" spans="2:45" x14ac:dyDescent="0.3">
      <c r="B227" s="16"/>
      <c r="C227" s="16"/>
      <c r="D227" s="16"/>
      <c r="E227" s="16"/>
      <c r="F227" s="24"/>
      <c r="G227" s="24"/>
      <c r="H227" s="24"/>
      <c r="I227" s="24"/>
      <c r="J227" s="24"/>
      <c r="K227" s="24"/>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row>
    <row r="228" spans="2:45" x14ac:dyDescent="0.3">
      <c r="B228" s="16"/>
      <c r="C228" s="16"/>
      <c r="D228" s="16"/>
      <c r="E228" s="16"/>
      <c r="F228" s="24"/>
      <c r="G228" s="24"/>
      <c r="H228" s="24"/>
      <c r="I228" s="24"/>
      <c r="J228" s="24"/>
      <c r="K228" s="24"/>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row>
    <row r="229" spans="2:45" x14ac:dyDescent="0.3">
      <c r="B229" s="16"/>
      <c r="C229" s="16"/>
      <c r="D229" s="16"/>
      <c r="E229" s="16"/>
      <c r="F229" s="24"/>
      <c r="G229" s="24"/>
      <c r="H229" s="24"/>
      <c r="I229" s="24"/>
      <c r="J229" s="24"/>
      <c r="K229" s="24"/>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row>
    <row r="230" spans="2:45" x14ac:dyDescent="0.3">
      <c r="B230" s="16"/>
      <c r="C230" s="16"/>
      <c r="D230" s="16"/>
      <c r="E230" s="16"/>
      <c r="F230" s="24"/>
      <c r="G230" s="24"/>
      <c r="H230" s="24"/>
      <c r="I230" s="24"/>
      <c r="J230" s="24"/>
      <c r="K230" s="24"/>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row>
    <row r="231" spans="2:45" x14ac:dyDescent="0.3">
      <c r="E231" s="16"/>
      <c r="F231" s="24"/>
      <c r="G231" s="24"/>
      <c r="H231" s="24"/>
      <c r="I231" s="24"/>
      <c r="J231" s="24"/>
      <c r="K231" s="24"/>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row>
    <row r="232" spans="2:45" x14ac:dyDescent="0.3">
      <c r="F232" s="24"/>
      <c r="G232" s="24"/>
      <c r="H232" s="24"/>
      <c r="I232" s="24"/>
      <c r="J232" s="24"/>
      <c r="K232" s="24"/>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row>
    <row r="233" spans="2:45" x14ac:dyDescent="0.3">
      <c r="F233" s="25"/>
      <c r="G233" s="25"/>
      <c r="H233" s="25"/>
      <c r="I233" s="25"/>
      <c r="J233" s="25"/>
      <c r="K233" s="24"/>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row>
    <row r="234" spans="2:45" x14ac:dyDescent="0.3">
      <c r="F234" s="25"/>
      <c r="G234" s="25"/>
      <c r="H234" s="25"/>
      <c r="I234" s="25"/>
      <c r="J234" s="25"/>
      <c r="K234" s="24"/>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row>
    <row r="235" spans="2:45" x14ac:dyDescent="0.3">
      <c r="F235" s="25"/>
      <c r="G235" s="25"/>
      <c r="H235" s="25"/>
      <c r="I235" s="25"/>
      <c r="J235" s="25"/>
      <c r="K235" s="24"/>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row>
    <row r="236" spans="2:45" x14ac:dyDescent="0.3">
      <c r="F236" s="25"/>
      <c r="G236" s="25"/>
      <c r="H236" s="25"/>
      <c r="I236" s="25"/>
      <c r="J236" s="25"/>
      <c r="K236" s="24"/>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row>
    <row r="237" spans="2:45" x14ac:dyDescent="0.3">
      <c r="F237" s="25"/>
      <c r="G237" s="25"/>
      <c r="H237" s="25"/>
      <c r="I237" s="25"/>
      <c r="J237" s="25"/>
      <c r="K237" s="24"/>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row>
    <row r="238" spans="2:45" x14ac:dyDescent="0.3">
      <c r="F238" s="25"/>
      <c r="G238" s="25"/>
      <c r="H238" s="25"/>
      <c r="I238" s="25"/>
      <c r="J238" s="25"/>
      <c r="K238" s="24"/>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row>
    <row r="239" spans="2:45" x14ac:dyDescent="0.3">
      <c r="F239" s="25"/>
      <c r="G239" s="25"/>
      <c r="H239" s="25"/>
      <c r="I239" s="25"/>
      <c r="J239" s="25"/>
      <c r="K239" s="24"/>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row>
    <row r="240" spans="2:45" x14ac:dyDescent="0.3">
      <c r="F240" s="25"/>
      <c r="G240" s="25"/>
      <c r="H240" s="25"/>
      <c r="I240" s="25"/>
      <c r="J240" s="25"/>
      <c r="K240" s="24"/>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row>
    <row r="241" spans="6:45" x14ac:dyDescent="0.3">
      <c r="F241" s="25"/>
      <c r="G241" s="25"/>
      <c r="H241" s="25"/>
      <c r="I241" s="25"/>
      <c r="J241" s="25"/>
      <c r="K241" s="24"/>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row>
    <row r="242" spans="6:45" x14ac:dyDescent="0.3">
      <c r="F242" s="25"/>
      <c r="G242" s="25"/>
      <c r="H242" s="25"/>
      <c r="I242" s="25"/>
      <c r="J242" s="25"/>
      <c r="K242" s="24"/>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row>
    <row r="243" spans="6:45" x14ac:dyDescent="0.3">
      <c r="F243" s="25"/>
      <c r="G243" s="25"/>
      <c r="H243" s="25"/>
      <c r="I243" s="25"/>
      <c r="J243" s="25"/>
      <c r="K243" s="24"/>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row>
    <row r="244" spans="6:45" x14ac:dyDescent="0.3">
      <c r="F244" s="25"/>
      <c r="G244" s="25"/>
      <c r="H244" s="25"/>
      <c r="I244" s="25"/>
      <c r="J244" s="25"/>
      <c r="K244" s="24"/>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row>
    <row r="245" spans="6:45" x14ac:dyDescent="0.3">
      <c r="F245" s="25"/>
      <c r="G245" s="25"/>
      <c r="H245" s="25"/>
      <c r="I245" s="25"/>
      <c r="J245" s="25"/>
      <c r="K245" s="24"/>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row>
    <row r="246" spans="6:45" x14ac:dyDescent="0.3">
      <c r="F246" s="25"/>
      <c r="G246" s="25"/>
      <c r="H246" s="25"/>
      <c r="I246" s="25"/>
      <c r="J246" s="25"/>
      <c r="K246" s="24"/>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row>
    <row r="247" spans="6:45" x14ac:dyDescent="0.3">
      <c r="F247" s="25"/>
      <c r="G247" s="25"/>
      <c r="H247" s="25"/>
      <c r="I247" s="25"/>
      <c r="J247" s="25"/>
      <c r="K247" s="24"/>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row>
    <row r="248" spans="6:45" x14ac:dyDescent="0.3">
      <c r="F248" s="25"/>
      <c r="G248" s="25"/>
      <c r="H248" s="25"/>
      <c r="I248" s="25"/>
      <c r="J248" s="25"/>
      <c r="K248" s="24"/>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row>
    <row r="249" spans="6:45" x14ac:dyDescent="0.3">
      <c r="F249" s="25"/>
      <c r="G249" s="25"/>
      <c r="H249" s="25"/>
      <c r="I249" s="25"/>
      <c r="J249" s="25"/>
      <c r="K249" s="24"/>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row>
    <row r="250" spans="6:45" x14ac:dyDescent="0.3">
      <c r="F250" s="25"/>
      <c r="G250" s="25"/>
      <c r="H250" s="25"/>
      <c r="I250" s="25"/>
      <c r="J250" s="25"/>
      <c r="K250" s="24"/>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row>
    <row r="251" spans="6:45" x14ac:dyDescent="0.3">
      <c r="F251" s="25"/>
      <c r="G251" s="25"/>
      <c r="H251" s="25"/>
      <c r="I251" s="25"/>
      <c r="J251" s="25"/>
      <c r="K251" s="24"/>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row>
    <row r="252" spans="6:45" x14ac:dyDescent="0.3">
      <c r="F252" s="25"/>
      <c r="G252" s="25"/>
      <c r="H252" s="25"/>
      <c r="I252" s="25"/>
      <c r="J252" s="25"/>
      <c r="K252" s="24"/>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row>
    <row r="253" spans="6:45" x14ac:dyDescent="0.3">
      <c r="F253" s="25"/>
      <c r="G253" s="25"/>
      <c r="H253" s="25"/>
      <c r="I253" s="25"/>
      <c r="J253" s="25"/>
      <c r="K253" s="24"/>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row>
    <row r="254" spans="6:45" x14ac:dyDescent="0.3">
      <c r="F254" s="25"/>
      <c r="G254" s="25"/>
      <c r="H254" s="25"/>
      <c r="I254" s="25"/>
      <c r="J254" s="25"/>
      <c r="K254" s="24"/>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row>
    <row r="255" spans="6:45" x14ac:dyDescent="0.3">
      <c r="F255" s="25"/>
      <c r="G255" s="25"/>
      <c r="H255" s="25"/>
      <c r="I255" s="25"/>
      <c r="J255" s="25"/>
      <c r="K255" s="24"/>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row>
    <row r="256" spans="6:45" x14ac:dyDescent="0.3">
      <c r="F256" s="25"/>
      <c r="G256" s="25"/>
      <c r="H256" s="25"/>
      <c r="I256" s="25"/>
      <c r="J256" s="25"/>
      <c r="K256" s="24"/>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row>
    <row r="257" spans="6:45" x14ac:dyDescent="0.3">
      <c r="F257" s="25"/>
      <c r="G257" s="25"/>
      <c r="H257" s="25"/>
      <c r="I257" s="25"/>
      <c r="J257" s="25"/>
      <c r="K257" s="24"/>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row>
    <row r="258" spans="6:45" x14ac:dyDescent="0.3">
      <c r="F258" s="25"/>
      <c r="G258" s="25"/>
      <c r="H258" s="25"/>
      <c r="I258" s="25"/>
      <c r="J258" s="25"/>
      <c r="K258" s="24"/>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row>
    <row r="259" spans="6:45" x14ac:dyDescent="0.3">
      <c r="F259" s="25"/>
      <c r="G259" s="25"/>
      <c r="H259" s="25"/>
      <c r="I259" s="25"/>
      <c r="J259" s="25"/>
      <c r="K259" s="24"/>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row>
    <row r="260" spans="6:45" x14ac:dyDescent="0.3">
      <c r="F260" s="25"/>
      <c r="G260" s="25"/>
      <c r="H260" s="25"/>
      <c r="I260" s="25"/>
      <c r="J260" s="25"/>
      <c r="K260" s="24"/>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row>
    <row r="261" spans="6:45" x14ac:dyDescent="0.3">
      <c r="F261" s="25"/>
      <c r="G261" s="25"/>
      <c r="H261" s="25"/>
      <c r="I261" s="25"/>
      <c r="J261" s="25"/>
      <c r="K261" s="24"/>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row>
    <row r="262" spans="6:45" x14ac:dyDescent="0.3">
      <c r="F262" s="25"/>
      <c r="G262" s="25"/>
      <c r="H262" s="25"/>
      <c r="I262" s="25"/>
      <c r="J262" s="25"/>
      <c r="K262" s="24"/>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row>
    <row r="263" spans="6:45" x14ac:dyDescent="0.3">
      <c r="F263" s="25"/>
      <c r="G263" s="25"/>
      <c r="H263" s="25"/>
      <c r="I263" s="25"/>
      <c r="J263" s="25"/>
      <c r="K263" s="24"/>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row>
    <row r="264" spans="6:45" x14ac:dyDescent="0.3">
      <c r="F264" s="25"/>
      <c r="G264" s="25"/>
      <c r="H264" s="25"/>
      <c r="I264" s="25"/>
      <c r="J264" s="25"/>
      <c r="K264" s="24"/>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row>
    <row r="265" spans="6:45" x14ac:dyDescent="0.3">
      <c r="F265" s="25"/>
      <c r="G265" s="25"/>
      <c r="H265" s="25"/>
      <c r="I265" s="25"/>
      <c r="J265" s="25"/>
      <c r="K265" s="24"/>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row>
    <row r="266" spans="6:45" x14ac:dyDescent="0.3">
      <c r="F266" s="25"/>
      <c r="G266" s="25"/>
      <c r="H266" s="25"/>
      <c r="I266" s="25"/>
      <c r="J266" s="25"/>
      <c r="K266" s="24"/>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row>
    <row r="267" spans="6:45" x14ac:dyDescent="0.3">
      <c r="F267" s="25"/>
      <c r="G267" s="25"/>
      <c r="H267" s="25"/>
      <c r="I267" s="25"/>
      <c r="J267" s="25"/>
      <c r="K267" s="24"/>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row>
    <row r="268" spans="6:45" x14ac:dyDescent="0.3">
      <c r="F268" s="25"/>
      <c r="G268" s="25"/>
      <c r="H268" s="25"/>
      <c r="I268" s="25"/>
      <c r="J268" s="25"/>
      <c r="K268" s="24"/>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row>
    <row r="269" spans="6:45" x14ac:dyDescent="0.3">
      <c r="F269" s="25"/>
      <c r="G269" s="25"/>
      <c r="H269" s="25"/>
      <c r="I269" s="25"/>
      <c r="J269" s="25"/>
      <c r="K269" s="24"/>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row>
    <row r="270" spans="6:45" x14ac:dyDescent="0.3">
      <c r="F270" s="25"/>
      <c r="G270" s="25"/>
      <c r="H270" s="25"/>
      <c r="I270" s="25"/>
      <c r="J270" s="25"/>
      <c r="K270" s="24"/>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row>
    <row r="271" spans="6:45" x14ac:dyDescent="0.3">
      <c r="F271" s="25"/>
      <c r="G271" s="25"/>
      <c r="H271" s="25"/>
      <c r="I271" s="25"/>
      <c r="J271" s="25"/>
      <c r="K271" s="24"/>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row>
    <row r="272" spans="6:45" x14ac:dyDescent="0.3">
      <c r="F272" s="25"/>
      <c r="G272" s="25"/>
      <c r="H272" s="25"/>
      <c r="I272" s="25"/>
      <c r="J272" s="25"/>
      <c r="K272" s="24"/>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row>
    <row r="273" spans="6:45" x14ac:dyDescent="0.3">
      <c r="F273" s="25"/>
      <c r="G273" s="25"/>
      <c r="H273" s="25"/>
      <c r="I273" s="25"/>
      <c r="J273" s="25"/>
      <c r="K273" s="24"/>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row>
    <row r="274" spans="6:45" x14ac:dyDescent="0.3">
      <c r="F274" s="25"/>
      <c r="G274" s="25"/>
      <c r="H274" s="25"/>
      <c r="I274" s="25"/>
      <c r="J274" s="25"/>
      <c r="K274" s="24"/>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row>
    <row r="275" spans="6:45" x14ac:dyDescent="0.3">
      <c r="F275" s="25"/>
      <c r="G275" s="25"/>
      <c r="H275" s="25"/>
      <c r="I275" s="25"/>
      <c r="J275" s="25"/>
      <c r="K275" s="24"/>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row>
    <row r="276" spans="6:45" x14ac:dyDescent="0.3">
      <c r="F276" s="25"/>
      <c r="G276" s="25"/>
      <c r="H276" s="25"/>
      <c r="I276" s="25"/>
      <c r="J276" s="25"/>
      <c r="K276" s="24"/>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row>
    <row r="277" spans="6:45" x14ac:dyDescent="0.3">
      <c r="F277" s="25"/>
      <c r="G277" s="25"/>
      <c r="H277" s="25"/>
      <c r="I277" s="25"/>
      <c r="J277" s="25"/>
      <c r="K277" s="24"/>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row>
    <row r="278" spans="6:45" x14ac:dyDescent="0.3">
      <c r="F278" s="25"/>
      <c r="G278" s="25"/>
      <c r="H278" s="25"/>
      <c r="I278" s="25"/>
      <c r="J278" s="25"/>
      <c r="K278" s="24"/>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row>
    <row r="279" spans="6:45" x14ac:dyDescent="0.3">
      <c r="F279" s="25"/>
      <c r="G279" s="25"/>
      <c r="H279" s="25"/>
      <c r="I279" s="25"/>
      <c r="J279" s="25"/>
      <c r="K279" s="24"/>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row>
    <row r="280" spans="6:45" x14ac:dyDescent="0.3">
      <c r="F280" s="25"/>
      <c r="G280" s="25"/>
      <c r="H280" s="25"/>
      <c r="I280" s="25"/>
      <c r="J280" s="25"/>
      <c r="K280" s="24"/>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row>
    <row r="281" spans="6:45" x14ac:dyDescent="0.3">
      <c r="F281" s="25"/>
      <c r="G281" s="25"/>
      <c r="H281" s="25"/>
      <c r="I281" s="25"/>
      <c r="J281" s="25"/>
      <c r="K281" s="24"/>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row>
    <row r="282" spans="6:45" x14ac:dyDescent="0.3">
      <c r="F282" s="25"/>
      <c r="G282" s="25"/>
      <c r="H282" s="25"/>
      <c r="I282" s="25"/>
      <c r="J282" s="25"/>
      <c r="K282" s="24"/>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row>
    <row r="283" spans="6:45" x14ac:dyDescent="0.3">
      <c r="F283" s="25"/>
      <c r="G283" s="25"/>
      <c r="H283" s="25"/>
      <c r="I283" s="25"/>
      <c r="J283" s="25"/>
      <c r="K283" s="24"/>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row>
    <row r="284" spans="6:45" x14ac:dyDescent="0.3">
      <c r="F284" s="25"/>
      <c r="G284" s="25"/>
      <c r="H284" s="25"/>
      <c r="I284" s="25"/>
      <c r="J284" s="25"/>
      <c r="K284" s="24"/>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row>
    <row r="285" spans="6:45" x14ac:dyDescent="0.3">
      <c r="F285" s="25"/>
      <c r="G285" s="25"/>
      <c r="H285" s="25"/>
      <c r="I285" s="25"/>
      <c r="J285" s="25"/>
      <c r="K285" s="24"/>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row>
    <row r="286" spans="6:45" x14ac:dyDescent="0.3">
      <c r="F286" s="25"/>
      <c r="G286" s="25"/>
      <c r="H286" s="25"/>
      <c r="I286" s="25"/>
      <c r="J286" s="25"/>
      <c r="K286" s="24"/>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row>
    <row r="287" spans="6:45" x14ac:dyDescent="0.3">
      <c r="F287" s="25"/>
      <c r="G287" s="25"/>
      <c r="H287" s="25"/>
      <c r="I287" s="25"/>
      <c r="J287" s="25"/>
      <c r="K287" s="24"/>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row>
    <row r="288" spans="6:45" x14ac:dyDescent="0.3">
      <c r="F288" s="25"/>
      <c r="G288" s="25"/>
      <c r="H288" s="25"/>
      <c r="I288" s="25"/>
      <c r="J288" s="25"/>
      <c r="K288" s="24"/>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row>
    <row r="289" spans="6:45" x14ac:dyDescent="0.3">
      <c r="F289" s="25"/>
      <c r="G289" s="25"/>
      <c r="H289" s="25"/>
      <c r="I289" s="25"/>
      <c r="J289" s="25"/>
      <c r="K289" s="24"/>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row>
    <row r="290" spans="6:45" x14ac:dyDescent="0.3">
      <c r="F290" s="25"/>
      <c r="G290" s="25"/>
      <c r="H290" s="25"/>
      <c r="I290" s="25"/>
      <c r="J290" s="25"/>
      <c r="K290" s="24"/>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row>
    <row r="291" spans="6:45" x14ac:dyDescent="0.3">
      <c r="F291" s="25"/>
      <c r="G291" s="25"/>
      <c r="H291" s="25"/>
      <c r="I291" s="25"/>
      <c r="J291" s="25"/>
      <c r="K291" s="24"/>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row>
    <row r="292" spans="6:45" x14ac:dyDescent="0.3">
      <c r="F292" s="25"/>
      <c r="G292" s="25"/>
      <c r="H292" s="25"/>
      <c r="I292" s="25"/>
      <c r="J292" s="25"/>
      <c r="K292" s="24"/>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row>
    <row r="293" spans="6:45" x14ac:dyDescent="0.3">
      <c r="F293" s="25"/>
      <c r="G293" s="25"/>
      <c r="H293" s="25"/>
      <c r="I293" s="25"/>
      <c r="J293" s="25"/>
      <c r="K293" s="25"/>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row>
    <row r="294" spans="6:45" x14ac:dyDescent="0.3">
      <c r="F294" s="25"/>
      <c r="G294" s="25"/>
      <c r="H294" s="25"/>
      <c r="I294" s="25"/>
      <c r="J294" s="25"/>
      <c r="K294" s="25"/>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row>
    <row r="295" spans="6:45" x14ac:dyDescent="0.3">
      <c r="F295" s="25"/>
      <c r="G295" s="25"/>
      <c r="H295" s="25"/>
      <c r="I295" s="25"/>
      <c r="J295" s="25"/>
      <c r="K295" s="25"/>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row>
    <row r="296" spans="6:45" x14ac:dyDescent="0.3">
      <c r="F296" s="25"/>
      <c r="G296" s="25"/>
      <c r="H296" s="25"/>
      <c r="I296" s="25"/>
      <c r="J296" s="25"/>
      <c r="K296" s="25"/>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row>
    <row r="297" spans="6:45" x14ac:dyDescent="0.3">
      <c r="F297" s="25"/>
      <c r="G297" s="25"/>
      <c r="H297" s="25"/>
      <c r="I297" s="25"/>
      <c r="J297" s="25"/>
      <c r="K297" s="25"/>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row>
    <row r="298" spans="6:45" x14ac:dyDescent="0.3">
      <c r="F298" s="25"/>
      <c r="G298" s="25"/>
      <c r="H298" s="25"/>
      <c r="I298" s="25"/>
      <c r="J298" s="25"/>
      <c r="K298" s="25"/>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row>
    <row r="299" spans="6:45" x14ac:dyDescent="0.3">
      <c r="F299" s="25"/>
      <c r="G299" s="25"/>
      <c r="H299" s="25"/>
      <c r="I299" s="25"/>
      <c r="J299" s="25"/>
      <c r="K299" s="25"/>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row>
    <row r="300" spans="6:45" x14ac:dyDescent="0.3">
      <c r="F300" s="25"/>
      <c r="G300" s="25"/>
      <c r="H300" s="25"/>
      <c r="I300" s="25"/>
      <c r="J300" s="25"/>
      <c r="K300" s="25"/>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row>
    <row r="301" spans="6:45" x14ac:dyDescent="0.3">
      <c r="F301" s="25"/>
      <c r="G301" s="25"/>
      <c r="H301" s="25"/>
      <c r="I301" s="25"/>
      <c r="J301" s="25"/>
      <c r="K301" s="25"/>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row>
    <row r="302" spans="6:45" x14ac:dyDescent="0.3">
      <c r="F302" s="25"/>
      <c r="G302" s="25"/>
      <c r="H302" s="25"/>
      <c r="I302" s="25"/>
      <c r="J302" s="25"/>
      <c r="K302" s="25"/>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row>
    <row r="303" spans="6:45" x14ac:dyDescent="0.3">
      <c r="F303" s="25"/>
      <c r="G303" s="25"/>
      <c r="H303" s="25"/>
      <c r="I303" s="25"/>
      <c r="J303" s="25"/>
      <c r="K303" s="25"/>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row>
    <row r="304" spans="6:45" x14ac:dyDescent="0.3">
      <c r="F304" s="25"/>
      <c r="G304" s="25"/>
      <c r="H304" s="25"/>
      <c r="I304" s="25"/>
      <c r="J304" s="25"/>
      <c r="K304" s="25"/>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row>
    <row r="305" spans="6:45" x14ac:dyDescent="0.3">
      <c r="F305" s="25"/>
      <c r="G305" s="25"/>
      <c r="H305" s="25"/>
      <c r="I305" s="25"/>
      <c r="J305" s="25"/>
      <c r="K305" s="25"/>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row>
    <row r="306" spans="6:45" x14ac:dyDescent="0.3">
      <c r="F306" s="25"/>
      <c r="G306" s="25"/>
      <c r="H306" s="25"/>
      <c r="I306" s="25"/>
      <c r="J306" s="25"/>
      <c r="K306" s="25"/>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row>
    <row r="307" spans="6:45" x14ac:dyDescent="0.3">
      <c r="F307" s="25"/>
      <c r="G307" s="25"/>
      <c r="H307" s="25"/>
      <c r="I307" s="25"/>
      <c r="J307" s="25"/>
      <c r="K307" s="25"/>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row>
    <row r="308" spans="6:45" x14ac:dyDescent="0.3">
      <c r="F308" s="25"/>
      <c r="G308" s="25"/>
      <c r="H308" s="25"/>
      <c r="I308" s="25"/>
      <c r="J308" s="25"/>
      <c r="K308" s="25"/>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row>
    <row r="309" spans="6:45" x14ac:dyDescent="0.3">
      <c r="F309" s="25"/>
      <c r="G309" s="25"/>
      <c r="H309" s="25"/>
      <c r="I309" s="25"/>
      <c r="J309" s="25"/>
      <c r="K309" s="25"/>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row>
    <row r="310" spans="6:45" x14ac:dyDescent="0.3">
      <c r="F310" s="25"/>
      <c r="G310" s="25"/>
      <c r="H310" s="25"/>
      <c r="I310" s="25"/>
      <c r="J310" s="25"/>
      <c r="K310" s="25"/>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row>
    <row r="311" spans="6:45" x14ac:dyDescent="0.3">
      <c r="F311" s="25"/>
      <c r="G311" s="25"/>
      <c r="H311" s="25"/>
      <c r="I311" s="25"/>
      <c r="J311" s="25"/>
      <c r="K311" s="25"/>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row>
    <row r="312" spans="6:45" x14ac:dyDescent="0.3">
      <c r="F312" s="25"/>
      <c r="G312" s="25"/>
      <c r="H312" s="25"/>
      <c r="I312" s="25"/>
      <c r="J312" s="25"/>
      <c r="K312" s="25"/>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row>
    <row r="313" spans="6:45" x14ac:dyDescent="0.3">
      <c r="F313" s="25"/>
      <c r="G313" s="25"/>
      <c r="H313" s="25"/>
      <c r="I313" s="25"/>
      <c r="J313" s="25"/>
      <c r="K313" s="25"/>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row>
    <row r="314" spans="6:45" x14ac:dyDescent="0.3">
      <c r="F314" s="25"/>
      <c r="G314" s="25"/>
      <c r="H314" s="25"/>
      <c r="I314" s="25"/>
      <c r="J314" s="25"/>
      <c r="K314" s="25"/>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row>
    <row r="315" spans="6:45" x14ac:dyDescent="0.3">
      <c r="F315" s="25"/>
      <c r="G315" s="25"/>
      <c r="H315" s="25"/>
      <c r="I315" s="25"/>
      <c r="J315" s="25"/>
      <c r="K315" s="25"/>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row>
    <row r="316" spans="6:45" x14ac:dyDescent="0.3">
      <c r="F316" s="25"/>
      <c r="G316" s="25"/>
      <c r="H316" s="25"/>
      <c r="I316" s="25"/>
      <c r="J316" s="25"/>
      <c r="K316" s="25"/>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row>
    <row r="317" spans="6:45" x14ac:dyDescent="0.3">
      <c r="F317" s="25"/>
      <c r="G317" s="25"/>
      <c r="H317" s="25"/>
      <c r="I317" s="25"/>
      <c r="J317" s="25"/>
      <c r="K317" s="25"/>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row>
    <row r="318" spans="6:45" x14ac:dyDescent="0.3">
      <c r="F318" s="25"/>
      <c r="G318" s="25"/>
      <c r="H318" s="25"/>
      <c r="I318" s="25"/>
      <c r="J318" s="25"/>
      <c r="K318" s="25"/>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row>
    <row r="319" spans="6:45" x14ac:dyDescent="0.3">
      <c r="F319" s="25"/>
      <c r="G319" s="25"/>
      <c r="H319" s="25"/>
      <c r="I319" s="25"/>
      <c r="J319" s="25"/>
      <c r="K319" s="25"/>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row>
    <row r="320" spans="6:45" x14ac:dyDescent="0.3">
      <c r="F320" s="25"/>
      <c r="G320" s="25"/>
      <c r="H320" s="25"/>
      <c r="I320" s="25"/>
      <c r="J320" s="25"/>
      <c r="K320" s="25"/>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row>
    <row r="321" spans="6:45" x14ac:dyDescent="0.3">
      <c r="F321" s="25"/>
      <c r="G321" s="25"/>
      <c r="H321" s="25"/>
      <c r="I321" s="25"/>
      <c r="J321" s="25"/>
      <c r="K321" s="25"/>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row>
    <row r="322" spans="6:45" x14ac:dyDescent="0.3">
      <c r="F322" s="25"/>
      <c r="G322" s="25"/>
      <c r="H322" s="25"/>
      <c r="I322" s="25"/>
      <c r="J322" s="25"/>
      <c r="K322" s="25"/>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row>
    <row r="323" spans="6:45" x14ac:dyDescent="0.3">
      <c r="F323" s="25"/>
      <c r="G323" s="25"/>
      <c r="H323" s="25"/>
      <c r="I323" s="25"/>
      <c r="J323" s="25"/>
      <c r="K323" s="25"/>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row>
    <row r="324" spans="6:45" x14ac:dyDescent="0.3">
      <c r="F324" s="25"/>
      <c r="G324" s="25"/>
      <c r="H324" s="25"/>
      <c r="I324" s="25"/>
      <c r="J324" s="25"/>
      <c r="K324" s="25"/>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row>
    <row r="325" spans="6:45" x14ac:dyDescent="0.3">
      <c r="F325" s="25"/>
      <c r="G325" s="25"/>
      <c r="H325" s="25"/>
      <c r="I325" s="25"/>
      <c r="J325" s="25"/>
      <c r="K325" s="25"/>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row>
    <row r="326" spans="6:45" x14ac:dyDescent="0.3">
      <c r="F326" s="25"/>
      <c r="G326" s="25"/>
      <c r="H326" s="25"/>
      <c r="I326" s="25"/>
      <c r="J326" s="25"/>
      <c r="K326" s="25"/>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row>
    <row r="327" spans="6:45" x14ac:dyDescent="0.3">
      <c r="F327" s="25"/>
      <c r="G327" s="25"/>
      <c r="H327" s="25"/>
      <c r="I327" s="25"/>
      <c r="J327" s="25"/>
      <c r="K327" s="25"/>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row>
    <row r="328" spans="6:45" x14ac:dyDescent="0.3">
      <c r="F328" s="25"/>
      <c r="G328" s="25"/>
      <c r="H328" s="25"/>
      <c r="I328" s="25"/>
      <c r="J328" s="25"/>
      <c r="K328" s="25"/>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row>
    <row r="329" spans="6:45" x14ac:dyDescent="0.3">
      <c r="F329" s="25"/>
      <c r="G329" s="25"/>
      <c r="H329" s="25"/>
      <c r="I329" s="25"/>
      <c r="J329" s="25"/>
      <c r="K329" s="25"/>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row>
    <row r="330" spans="6:45" x14ac:dyDescent="0.3">
      <c r="F330" s="25"/>
      <c r="G330" s="25"/>
      <c r="H330" s="25"/>
      <c r="I330" s="25"/>
      <c r="J330" s="25"/>
      <c r="K330" s="25"/>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row>
    <row r="331" spans="6:45" x14ac:dyDescent="0.3">
      <c r="F331" s="25"/>
      <c r="G331" s="25"/>
      <c r="H331" s="25"/>
      <c r="I331" s="25"/>
      <c r="J331" s="25"/>
      <c r="K331" s="25"/>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row>
    <row r="332" spans="6:45" x14ac:dyDescent="0.3">
      <c r="F332" s="25"/>
      <c r="G332" s="25"/>
      <c r="H332" s="25"/>
      <c r="I332" s="25"/>
      <c r="J332" s="25"/>
      <c r="K332" s="25"/>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row>
    <row r="333" spans="6:45" x14ac:dyDescent="0.3">
      <c r="F333" s="25"/>
      <c r="G333" s="25"/>
      <c r="H333" s="25"/>
      <c r="I333" s="25"/>
      <c r="J333" s="25"/>
      <c r="K333" s="25"/>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row>
    <row r="334" spans="6:45" x14ac:dyDescent="0.3">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row>
    <row r="335" spans="6:45" x14ac:dyDescent="0.3">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row>
    <row r="336" spans="6:45" x14ac:dyDescent="0.3">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row>
    <row r="337" spans="17:45" x14ac:dyDescent="0.3">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row>
    <row r="338" spans="17:45" x14ac:dyDescent="0.3">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row>
    <row r="339" spans="17:45" x14ac:dyDescent="0.3">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row>
    <row r="340" spans="17:45" x14ac:dyDescent="0.3">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row>
    <row r="341" spans="17:45" x14ac:dyDescent="0.3">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row>
    <row r="342" spans="17:45" x14ac:dyDescent="0.3">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row>
    <row r="343" spans="17:45" x14ac:dyDescent="0.3">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row>
  </sheetData>
  <mergeCells count="3">
    <mergeCell ref="F6:K6"/>
    <mergeCell ref="M6:R6"/>
    <mergeCell ref="C8:D8"/>
  </mergeCells>
  <dataValidations disablePrompts="1" count="1">
    <dataValidation type="list" allowBlank="1" showInputMessage="1" showErrorMessage="1" sqref="D6"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ignoredErrors>
    <ignoredError sqref="N117 N119"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D140"/>
  <sheetViews>
    <sheetView zoomScaleNormal="100" workbookViewId="0">
      <pane xSplit="2" ySplit="9" topLeftCell="C137" activePane="bottomRight" state="frozen"/>
      <selection pane="topRight" activeCell="C1" sqref="C1"/>
      <selection pane="bottomLeft" activeCell="A10" sqref="A10"/>
      <selection pane="bottomRight" activeCell="A7" sqref="A7"/>
    </sheetView>
  </sheetViews>
  <sheetFormatPr defaultColWidth="9.09765625" defaultRowHeight="13" x14ac:dyDescent="0.3"/>
  <cols>
    <col min="1" max="1" width="8.69921875" style="74" customWidth="1"/>
    <col min="2" max="2" width="11.69921875" style="74" customWidth="1"/>
    <col min="3" max="3" width="16.296875" style="74" customWidth="1"/>
    <col min="4" max="4" width="13.59765625" style="74" customWidth="1"/>
    <col min="5" max="16384" width="9.09765625" style="74"/>
  </cols>
  <sheetData>
    <row r="3" spans="1:4" ht="20" x14ac:dyDescent="0.4">
      <c r="A3" s="26" t="s">
        <v>36</v>
      </c>
    </row>
    <row r="4" spans="1:4" ht="15.5" x14ac:dyDescent="0.3">
      <c r="A4" s="7" t="s">
        <v>40</v>
      </c>
    </row>
    <row r="5" spans="1:4" ht="15.5" x14ac:dyDescent="0.3">
      <c r="A5" s="11" t="s">
        <v>37</v>
      </c>
    </row>
    <row r="6" spans="1:4" ht="15.5" x14ac:dyDescent="0.3">
      <c r="A6" s="7" t="s">
        <v>66</v>
      </c>
    </row>
    <row r="8" spans="1:4" ht="15.5" x14ac:dyDescent="0.3">
      <c r="B8" s="18"/>
      <c r="C8" s="105" t="s">
        <v>38</v>
      </c>
      <c r="D8" s="106"/>
    </row>
    <row r="9" spans="1:4" ht="46.5" x14ac:dyDescent="0.3">
      <c r="B9" s="18"/>
      <c r="C9" s="76" t="s">
        <v>41</v>
      </c>
      <c r="D9" s="77" t="s">
        <v>42</v>
      </c>
    </row>
    <row r="10" spans="1:4" ht="15.5" x14ac:dyDescent="0.3">
      <c r="B10" s="42">
        <v>42095</v>
      </c>
      <c r="C10" s="81">
        <v>23.583438102261695</v>
      </c>
      <c r="D10" s="37"/>
    </row>
    <row r="11" spans="1:4" ht="15.5" x14ac:dyDescent="0.3">
      <c r="B11" s="41">
        <v>42125</v>
      </c>
      <c r="C11" s="82">
        <v>23.107135021791638</v>
      </c>
      <c r="D11" s="34">
        <f>C11-C10</f>
        <v>-0.47630308047005698</v>
      </c>
    </row>
    <row r="12" spans="1:4" ht="15.5" x14ac:dyDescent="0.3">
      <c r="B12" s="42">
        <v>42156</v>
      </c>
      <c r="C12" s="81">
        <v>22.661023512168438</v>
      </c>
      <c r="D12" s="37">
        <f t="shared" ref="D12:D75" si="0">C12-C11</f>
        <v>-0.44611150962320067</v>
      </c>
    </row>
    <row r="13" spans="1:4" ht="15.5" x14ac:dyDescent="0.3">
      <c r="B13" s="41">
        <v>42186</v>
      </c>
      <c r="C13" s="82">
        <v>21.405033024348061</v>
      </c>
      <c r="D13" s="34">
        <f t="shared" si="0"/>
        <v>-1.2559904878203767</v>
      </c>
    </row>
    <row r="14" spans="1:4" ht="15.5" x14ac:dyDescent="0.3">
      <c r="B14" s="42">
        <v>42217</v>
      </c>
      <c r="C14" s="81">
        <v>19.195255581268434</v>
      </c>
      <c r="D14" s="37">
        <f t="shared" si="0"/>
        <v>-2.2097774430796271</v>
      </c>
    </row>
    <row r="15" spans="1:4" ht="15.5" x14ac:dyDescent="0.3">
      <c r="B15" s="41">
        <v>42248</v>
      </c>
      <c r="C15" s="82">
        <v>19.619037495162189</v>
      </c>
      <c r="D15" s="34">
        <f t="shared" si="0"/>
        <v>0.4237819138937553</v>
      </c>
    </row>
    <row r="16" spans="1:4" ht="15.5" x14ac:dyDescent="0.3">
      <c r="B16" s="42">
        <v>42278</v>
      </c>
      <c r="C16" s="81">
        <v>20.124609867865551</v>
      </c>
      <c r="D16" s="37">
        <f t="shared" si="0"/>
        <v>0.5055723727033623</v>
      </c>
    </row>
    <row r="17" spans="2:4" ht="15.5" x14ac:dyDescent="0.3">
      <c r="B17" s="41">
        <v>42309</v>
      </c>
      <c r="C17" s="82">
        <v>18.486262911367664</v>
      </c>
      <c r="D17" s="34">
        <f t="shared" si="0"/>
        <v>-1.6383469564978874</v>
      </c>
    </row>
    <row r="18" spans="2:4" ht="15.5" x14ac:dyDescent="0.3">
      <c r="B18" s="42">
        <v>42339</v>
      </c>
      <c r="C18" s="81">
        <v>18.352001038909002</v>
      </c>
      <c r="D18" s="37">
        <f t="shared" si="0"/>
        <v>-0.13426187245866217</v>
      </c>
    </row>
    <row r="19" spans="2:4" ht="15.5" x14ac:dyDescent="0.3">
      <c r="B19" s="41">
        <v>42370</v>
      </c>
      <c r="C19" s="82">
        <v>17.399139290732172</v>
      </c>
      <c r="D19" s="34">
        <f t="shared" si="0"/>
        <v>-0.95286174817682934</v>
      </c>
    </row>
    <row r="20" spans="2:4" ht="15.5" x14ac:dyDescent="0.3">
      <c r="B20" s="42">
        <v>42401</v>
      </c>
      <c r="C20" s="81">
        <v>17.127135604432262</v>
      </c>
      <c r="D20" s="37">
        <f t="shared" si="0"/>
        <v>-0.2720036862999109</v>
      </c>
    </row>
    <row r="21" spans="2:4" ht="15.5" x14ac:dyDescent="0.3">
      <c r="B21" s="41">
        <v>42430</v>
      </c>
      <c r="C21" s="82">
        <v>16.072860274558927</v>
      </c>
      <c r="D21" s="34">
        <f t="shared" si="0"/>
        <v>-1.0542753298733345</v>
      </c>
    </row>
    <row r="22" spans="2:4" ht="15.5" x14ac:dyDescent="0.3">
      <c r="B22" s="42">
        <v>42461</v>
      </c>
      <c r="C22" s="81">
        <v>15.663095213559561</v>
      </c>
      <c r="D22" s="37">
        <f t="shared" si="0"/>
        <v>-0.40976506099936572</v>
      </c>
    </row>
    <row r="23" spans="2:4" ht="15.5" x14ac:dyDescent="0.3">
      <c r="B23" s="41">
        <v>42491</v>
      </c>
      <c r="C23" s="82">
        <v>16.61067827316824</v>
      </c>
      <c r="D23" s="34">
        <f t="shared" si="0"/>
        <v>0.94758305960867872</v>
      </c>
    </row>
    <row r="24" spans="2:4" ht="15.5" x14ac:dyDescent="0.3">
      <c r="B24" s="42">
        <v>42522</v>
      </c>
      <c r="C24" s="81">
        <v>19.491217211027774</v>
      </c>
      <c r="D24" s="37">
        <f t="shared" si="0"/>
        <v>2.8805389378595336</v>
      </c>
    </row>
    <row r="25" spans="2:4" ht="15.5" x14ac:dyDescent="0.3">
      <c r="B25" s="41">
        <v>42552</v>
      </c>
      <c r="C25" s="82">
        <v>23.50852206430153</v>
      </c>
      <c r="D25" s="34">
        <f t="shared" si="0"/>
        <v>4.0173048532737567</v>
      </c>
    </row>
    <row r="26" spans="2:4" ht="15.5" x14ac:dyDescent="0.3">
      <c r="B26" s="42">
        <v>42583</v>
      </c>
      <c r="C26" s="81">
        <v>27.618778168032676</v>
      </c>
      <c r="D26" s="37">
        <f t="shared" si="0"/>
        <v>4.110256103731146</v>
      </c>
    </row>
    <row r="27" spans="2:4" ht="15.5" x14ac:dyDescent="0.3">
      <c r="B27" s="41">
        <v>42614</v>
      </c>
      <c r="C27" s="82">
        <v>31.613683434457585</v>
      </c>
      <c r="D27" s="34">
        <f t="shared" si="0"/>
        <v>3.9949052664249081</v>
      </c>
    </row>
    <row r="28" spans="2:4" ht="15.5" x14ac:dyDescent="0.3">
      <c r="B28" s="42">
        <v>42644</v>
      </c>
      <c r="C28" s="81">
        <v>33.41964173255608</v>
      </c>
      <c r="D28" s="37">
        <f t="shared" si="0"/>
        <v>1.8059582980984956</v>
      </c>
    </row>
    <row r="29" spans="2:4" ht="15.5" x14ac:dyDescent="0.3">
      <c r="B29" s="41">
        <v>42675</v>
      </c>
      <c r="C29" s="82">
        <v>33.238706462298026</v>
      </c>
      <c r="D29" s="34">
        <f t="shared" si="0"/>
        <v>-0.180935270258054</v>
      </c>
    </row>
    <row r="30" spans="2:4" ht="15.5" x14ac:dyDescent="0.3">
      <c r="B30" s="42">
        <v>42705</v>
      </c>
      <c r="C30" s="81">
        <v>33.023307899129314</v>
      </c>
      <c r="D30" s="37">
        <f t="shared" si="0"/>
        <v>-0.21539856316871209</v>
      </c>
    </row>
    <row r="31" spans="2:4" ht="15.5" x14ac:dyDescent="0.3">
      <c r="B31" s="41">
        <v>42736</v>
      </c>
      <c r="C31" s="82">
        <v>33.064114564195897</v>
      </c>
      <c r="D31" s="34">
        <f t="shared" si="0"/>
        <v>4.0806665066583037E-2</v>
      </c>
    </row>
    <row r="32" spans="2:4" ht="15.5" x14ac:dyDescent="0.3">
      <c r="B32" s="42">
        <v>42767</v>
      </c>
      <c r="C32" s="81">
        <v>31.473979575974866</v>
      </c>
      <c r="D32" s="37">
        <f t="shared" si="0"/>
        <v>-1.5901349882210312</v>
      </c>
    </row>
    <row r="33" spans="2:4" ht="15.5" x14ac:dyDescent="0.3">
      <c r="B33" s="41">
        <v>42795</v>
      </c>
      <c r="C33" s="82">
        <v>31.223895013619796</v>
      </c>
      <c r="D33" s="34">
        <f t="shared" si="0"/>
        <v>-0.25008456235507026</v>
      </c>
    </row>
    <row r="34" spans="2:4" ht="15.5" x14ac:dyDescent="0.3">
      <c r="B34" s="42">
        <v>42826</v>
      </c>
      <c r="C34" s="81">
        <v>30.963559182932279</v>
      </c>
      <c r="D34" s="37">
        <f t="shared" si="0"/>
        <v>-0.26033583068751653</v>
      </c>
    </row>
    <row r="35" spans="2:4" ht="15.5" x14ac:dyDescent="0.3">
      <c r="B35" s="41">
        <v>42856</v>
      </c>
      <c r="C35" s="82">
        <v>32.835124282186086</v>
      </c>
      <c r="D35" s="34">
        <f t="shared" si="0"/>
        <v>1.8715650992538073</v>
      </c>
    </row>
    <row r="36" spans="2:4" ht="15.5" x14ac:dyDescent="0.3">
      <c r="B36" s="42">
        <v>42887</v>
      </c>
      <c r="C36" s="81">
        <v>36.813611749548983</v>
      </c>
      <c r="D36" s="37">
        <f t="shared" si="0"/>
        <v>3.9784874673628963</v>
      </c>
    </row>
    <row r="37" spans="2:4" ht="15.5" x14ac:dyDescent="0.3">
      <c r="B37" s="41">
        <v>42917</v>
      </c>
      <c r="C37" s="82">
        <v>37.052557505550269</v>
      </c>
      <c r="D37" s="34">
        <f t="shared" si="0"/>
        <v>0.23894575600128576</v>
      </c>
    </row>
    <row r="38" spans="2:4" ht="15.5" x14ac:dyDescent="0.3">
      <c r="B38" s="42">
        <v>42948</v>
      </c>
      <c r="C38" s="81">
        <v>38.982239122742783</v>
      </c>
      <c r="D38" s="37">
        <f t="shared" si="0"/>
        <v>1.9296816171925144</v>
      </c>
    </row>
    <row r="39" spans="2:4" ht="15.5" x14ac:dyDescent="0.3">
      <c r="B39" s="41">
        <v>42979</v>
      </c>
      <c r="C39" s="82">
        <v>38.762557790195579</v>
      </c>
      <c r="D39" s="34">
        <f t="shared" si="0"/>
        <v>-0.21968133254720357</v>
      </c>
    </row>
    <row r="40" spans="2:4" ht="15.5" x14ac:dyDescent="0.3">
      <c r="B40" s="42">
        <v>43009</v>
      </c>
      <c r="C40" s="81">
        <v>35.830983315959593</v>
      </c>
      <c r="D40" s="37">
        <f t="shared" si="0"/>
        <v>-2.9315744742359868</v>
      </c>
    </row>
    <row r="41" spans="2:4" ht="15.5" x14ac:dyDescent="0.3">
      <c r="B41" s="41">
        <v>43040</v>
      </c>
      <c r="C41" s="82">
        <v>33.736370944665218</v>
      </c>
      <c r="D41" s="34">
        <f t="shared" si="0"/>
        <v>-2.0946123712943745</v>
      </c>
    </row>
    <row r="42" spans="2:4" ht="15.5" x14ac:dyDescent="0.3">
      <c r="B42" s="42">
        <v>43070</v>
      </c>
      <c r="C42" s="81">
        <v>30.769540374532323</v>
      </c>
      <c r="D42" s="37">
        <f t="shared" si="0"/>
        <v>-2.9668305701328954</v>
      </c>
    </row>
    <row r="43" spans="2:4" ht="15.5" x14ac:dyDescent="0.3">
      <c r="B43" s="41">
        <v>43101</v>
      </c>
      <c r="C43" s="82">
        <v>28.884515254582229</v>
      </c>
      <c r="D43" s="34">
        <f t="shared" si="0"/>
        <v>-1.8850251199500931</v>
      </c>
    </row>
    <row r="44" spans="2:4" ht="15.5" x14ac:dyDescent="0.3">
      <c r="B44" s="42">
        <v>43132</v>
      </c>
      <c r="C44" s="81">
        <v>30.418528017998895</v>
      </c>
      <c r="D44" s="37">
        <f t="shared" si="0"/>
        <v>1.5340127634166656</v>
      </c>
    </row>
    <row r="45" spans="2:4" ht="15.5" x14ac:dyDescent="0.3">
      <c r="B45" s="41">
        <v>43160</v>
      </c>
      <c r="C45" s="82">
        <v>30.17629355516646</v>
      </c>
      <c r="D45" s="34">
        <f t="shared" si="0"/>
        <v>-0.24223446283243533</v>
      </c>
    </row>
    <row r="46" spans="2:4" ht="15.5" x14ac:dyDescent="0.3">
      <c r="B46" s="42">
        <v>43191</v>
      </c>
      <c r="C46" s="81">
        <v>30.885178988235577</v>
      </c>
      <c r="D46" s="37">
        <f t="shared" si="0"/>
        <v>0.708885433069117</v>
      </c>
    </row>
    <row r="47" spans="2:4" ht="15.5" x14ac:dyDescent="0.3">
      <c r="B47" s="41">
        <v>43221</v>
      </c>
      <c r="C47" s="82">
        <v>32.477641593821765</v>
      </c>
      <c r="D47" s="34">
        <f t="shared" si="0"/>
        <v>1.5924626055861886</v>
      </c>
    </row>
    <row r="48" spans="2:4" ht="15.5" x14ac:dyDescent="0.3">
      <c r="B48" s="42">
        <v>43252</v>
      </c>
      <c r="C48" s="81">
        <v>32.864942026653239</v>
      </c>
      <c r="D48" s="37">
        <f t="shared" si="0"/>
        <v>0.38730043283147353</v>
      </c>
    </row>
    <row r="49" spans="2:4" ht="15.5" x14ac:dyDescent="0.3">
      <c r="B49" s="41">
        <v>43282</v>
      </c>
      <c r="C49" s="82">
        <v>33.055662494705061</v>
      </c>
      <c r="D49" s="34">
        <f t="shared" si="0"/>
        <v>0.19072046805182197</v>
      </c>
    </row>
    <row r="50" spans="2:4" ht="15.5" x14ac:dyDescent="0.3">
      <c r="B50" s="42">
        <v>43313</v>
      </c>
      <c r="C50" s="81">
        <v>33.530662317368495</v>
      </c>
      <c r="D50" s="37">
        <f t="shared" si="0"/>
        <v>0.47499982266343466</v>
      </c>
    </row>
    <row r="51" spans="2:4" ht="15.5" x14ac:dyDescent="0.3">
      <c r="B51" s="41">
        <v>43344</v>
      </c>
      <c r="C51" s="82">
        <v>33.273185896293505</v>
      </c>
      <c r="D51" s="34">
        <f t="shared" si="0"/>
        <v>-0.25747642107499047</v>
      </c>
    </row>
    <row r="52" spans="2:4" ht="15.5" x14ac:dyDescent="0.3">
      <c r="B52" s="42">
        <v>43374</v>
      </c>
      <c r="C52" s="81">
        <f>(0.2*'AMPE-MCVE'!C51)+(0.8*'AMPE-MCVE'!D51)</f>
        <v>32.440828444558576</v>
      </c>
      <c r="D52" s="37">
        <f t="shared" si="0"/>
        <v>-0.83235745173492859</v>
      </c>
    </row>
    <row r="53" spans="2:4" ht="15.5" x14ac:dyDescent="0.3">
      <c r="B53" s="41">
        <v>43405</v>
      </c>
      <c r="C53" s="82">
        <f>(0.2*'AMPE-MCVE'!C52)+(0.8*'AMPE-MCVE'!D52)</f>
        <v>30.850367304160251</v>
      </c>
      <c r="D53" s="34">
        <f t="shared" si="0"/>
        <v>-1.5904611403983253</v>
      </c>
    </row>
    <row r="54" spans="2:4" ht="15.5" x14ac:dyDescent="0.3">
      <c r="B54" s="42">
        <v>43435</v>
      </c>
      <c r="C54" s="81">
        <f>(0.2*'AMPE-MCVE'!C53)+(0.8*'AMPE-MCVE'!D53)</f>
        <v>30.918347659183638</v>
      </c>
      <c r="D54" s="37">
        <f t="shared" si="0"/>
        <v>6.7980355023387062E-2</v>
      </c>
    </row>
    <row r="55" spans="2:4" ht="15.5" x14ac:dyDescent="0.3">
      <c r="B55" s="41">
        <v>43466</v>
      </c>
      <c r="C55" s="82">
        <f>(0.2*'AMPE-MCVE'!C54)+(0.8*'AMPE-MCVE'!D54)</f>
        <v>31.920495325488375</v>
      </c>
      <c r="D55" s="34">
        <f t="shared" si="0"/>
        <v>1.0021476663047366</v>
      </c>
    </row>
    <row r="56" spans="2:4" ht="15.5" x14ac:dyDescent="0.3">
      <c r="B56" s="42">
        <v>43497</v>
      </c>
      <c r="C56" s="81">
        <f>(0.2*'AMPE-MCVE'!C55)+(0.8*'AMPE-MCVE'!D55)</f>
        <v>31.602637764670661</v>
      </c>
      <c r="D56" s="37">
        <f t="shared" si="0"/>
        <v>-0.3178575608177141</v>
      </c>
    </row>
    <row r="57" spans="2:4" ht="15.5" x14ac:dyDescent="0.3">
      <c r="B57" s="41">
        <v>43525</v>
      </c>
      <c r="C57" s="82">
        <f>(0.2*'AMPE-MCVE'!C56)+(0.8*'AMPE-MCVE'!D56)</f>
        <v>30.893834175591827</v>
      </c>
      <c r="D57" s="34">
        <f t="shared" si="0"/>
        <v>-0.70880358907883334</v>
      </c>
    </row>
    <row r="58" spans="2:4" ht="15.5" x14ac:dyDescent="0.3">
      <c r="B58" s="42">
        <v>43556</v>
      </c>
      <c r="C58" s="81">
        <f>(0.2*'AMPE-MCVE'!C57)+(0.8*'AMPE-MCVE'!D57)</f>
        <v>30.598870523516762</v>
      </c>
      <c r="D58" s="37">
        <f t="shared" si="0"/>
        <v>-0.29496365207506514</v>
      </c>
    </row>
    <row r="59" spans="2:4" ht="15.5" x14ac:dyDescent="0.3">
      <c r="B59" s="41">
        <v>43586</v>
      </c>
      <c r="C59" s="82">
        <f>(0.2*'AMPE-MCVE'!C58)+(0.8*'AMPE-MCVE'!D58)</f>
        <v>30.649946363172511</v>
      </c>
      <c r="D59" s="34">
        <f t="shared" si="0"/>
        <v>5.1075839655748467E-2</v>
      </c>
    </row>
    <row r="60" spans="2:4" ht="15.5" x14ac:dyDescent="0.3">
      <c r="B60" s="42">
        <v>43617</v>
      </c>
      <c r="C60" s="81">
        <f>(0.2*'AMPE-MCVE'!C59)+(0.8*'AMPE-MCVE'!D59)</f>
        <v>30.56524209265784</v>
      </c>
      <c r="D60" s="37">
        <f t="shared" si="0"/>
        <v>-8.4704270514670554E-2</v>
      </c>
    </row>
    <row r="61" spans="2:4" ht="15.5" x14ac:dyDescent="0.3">
      <c r="B61" s="41">
        <v>43647</v>
      </c>
      <c r="C61" s="82">
        <f>(0.2*'AMPE-MCVE'!C60)+(0.8*'AMPE-MCVE'!D60)</f>
        <v>30.175663996839766</v>
      </c>
      <c r="D61" s="34">
        <f t="shared" si="0"/>
        <v>-0.38957809581807368</v>
      </c>
    </row>
    <row r="62" spans="2:4" ht="15.5" x14ac:dyDescent="0.3">
      <c r="B62" s="42">
        <v>43678</v>
      </c>
      <c r="C62" s="81">
        <f>(0.2*'AMPE-MCVE'!C61)+(0.8*'AMPE-MCVE'!D61)</f>
        <v>30.05332966715725</v>
      </c>
      <c r="D62" s="37">
        <f t="shared" si="0"/>
        <v>-0.12233432968251634</v>
      </c>
    </row>
    <row r="63" spans="2:4" ht="15.5" x14ac:dyDescent="0.3">
      <c r="B63" s="41">
        <v>43709</v>
      </c>
      <c r="C63" s="82">
        <f>(0.2*'AMPE-MCVE'!C62)+(0.8*'AMPE-MCVE'!D62)</f>
        <v>30.460658990248312</v>
      </c>
      <c r="D63" s="34">
        <f t="shared" si="0"/>
        <v>0.40732932309106218</v>
      </c>
    </row>
    <row r="64" spans="2:4" ht="15.5" x14ac:dyDescent="0.3">
      <c r="B64" s="42">
        <v>43739</v>
      </c>
      <c r="C64" s="81">
        <f>(0.2*'AMPE-MCVE'!C63)+(0.8*'AMPE-MCVE'!D63)</f>
        <v>30.710755088101219</v>
      </c>
      <c r="D64" s="37">
        <f t="shared" si="0"/>
        <v>0.25009609785290721</v>
      </c>
    </row>
    <row r="65" spans="2:4" ht="15.5" x14ac:dyDescent="0.3">
      <c r="B65" s="41">
        <v>43770</v>
      </c>
      <c r="C65" s="82">
        <f>(0.2*'AMPE-MCVE'!C64)+(0.8*'AMPE-MCVE'!D64)</f>
        <v>30.991530023456932</v>
      </c>
      <c r="D65" s="34">
        <f t="shared" si="0"/>
        <v>0.28077493535571207</v>
      </c>
    </row>
    <row r="66" spans="2:4" ht="15.5" x14ac:dyDescent="0.3">
      <c r="B66" s="42">
        <v>43800</v>
      </c>
      <c r="C66" s="81">
        <f>(0.2*'AMPE-MCVE'!C65)+(0.8*'AMPE-MCVE'!D65)</f>
        <v>30.968154145441972</v>
      </c>
      <c r="D66" s="37">
        <f t="shared" si="0"/>
        <v>-2.3375878014959994E-2</v>
      </c>
    </row>
    <row r="67" spans="2:4" ht="15.5" x14ac:dyDescent="0.3">
      <c r="B67" s="41">
        <v>43831</v>
      </c>
      <c r="C67" s="82">
        <f>(0.2*'AMPE-MCVE'!C66)+(0.8*'AMPE-MCVE'!D66)</f>
        <v>31.052912894439693</v>
      </c>
      <c r="D67" s="34">
        <f t="shared" si="0"/>
        <v>8.4758748997721511E-2</v>
      </c>
    </row>
    <row r="68" spans="2:4" ht="15.5" x14ac:dyDescent="0.3">
      <c r="B68" s="42">
        <v>43862</v>
      </c>
      <c r="C68" s="81">
        <f>(0.2*'AMPE-MCVE'!C67)+(0.8*'AMPE-MCVE'!D67)</f>
        <v>31.130556308522159</v>
      </c>
      <c r="D68" s="37">
        <f t="shared" si="0"/>
        <v>7.7643414082466222E-2</v>
      </c>
    </row>
    <row r="69" spans="2:4" ht="15.5" x14ac:dyDescent="0.3">
      <c r="B69" s="41">
        <v>43891</v>
      </c>
      <c r="C69" s="82">
        <f>(0.2*'AMPE-MCVE'!C68)+(0.8*'AMPE-MCVE'!D68)</f>
        <v>31.077017480591913</v>
      </c>
      <c r="D69" s="34">
        <f t="shared" si="0"/>
        <v>-5.3538827930246669E-2</v>
      </c>
    </row>
    <row r="70" spans="2:4" ht="15.5" x14ac:dyDescent="0.3">
      <c r="B70" s="42">
        <v>43922</v>
      </c>
      <c r="C70" s="81">
        <f>(0.2*'AMPE-MCVE'!C69)+(0.8*'AMPE-MCVE'!D69)</f>
        <v>29.303646929628744</v>
      </c>
      <c r="D70" s="37">
        <f t="shared" si="0"/>
        <v>-1.7733705509631683</v>
      </c>
    </row>
    <row r="71" spans="2:4" ht="15.5" x14ac:dyDescent="0.3">
      <c r="B71" s="41">
        <v>43952</v>
      </c>
      <c r="C71" s="82">
        <f>(0.2*'AMPE-MCVE'!C70)+(0.8*'AMPE-MCVE'!D70)</f>
        <v>29.845202219195286</v>
      </c>
      <c r="D71" s="34">
        <f t="shared" si="0"/>
        <v>0.54155528956654209</v>
      </c>
    </row>
    <row r="72" spans="2:4" ht="15.5" x14ac:dyDescent="0.3">
      <c r="B72" s="42">
        <v>43983</v>
      </c>
      <c r="C72" s="81">
        <f>(0.2*'AMPE-MCVE'!C71)+(0.8*'AMPE-MCVE'!D71)</f>
        <v>31.14187129879906</v>
      </c>
      <c r="D72" s="37">
        <f t="shared" si="0"/>
        <v>1.2966690796037739</v>
      </c>
    </row>
    <row r="73" spans="2:4" ht="15.5" x14ac:dyDescent="0.3">
      <c r="B73" s="41">
        <v>44013</v>
      </c>
      <c r="C73" s="82">
        <f>(0.2*'AMPE-MCVE'!C72)+(0.8*'AMPE-MCVE'!D72)</f>
        <v>31.062001758763813</v>
      </c>
      <c r="D73" s="34">
        <f t="shared" si="0"/>
        <v>-7.9869540035247155E-2</v>
      </c>
    </row>
    <row r="74" spans="2:4" ht="15.5" x14ac:dyDescent="0.3">
      <c r="B74" s="42">
        <v>44044</v>
      </c>
      <c r="C74" s="81">
        <f>(0.2*'AMPE-MCVE'!C73)+(0.8*'AMPE-MCVE'!D73)</f>
        <v>30.88145390791496</v>
      </c>
      <c r="D74" s="37">
        <f t="shared" si="0"/>
        <v>-0.18054785084885339</v>
      </c>
    </row>
    <row r="75" spans="2:4" ht="15.5" x14ac:dyDescent="0.3">
      <c r="B75" s="41">
        <v>44075</v>
      </c>
      <c r="C75" s="82">
        <f>(0.2*'AMPE-MCVE'!C74)+(0.8*'AMPE-MCVE'!D74)</f>
        <v>31.182226301849546</v>
      </c>
      <c r="D75" s="34">
        <f t="shared" si="0"/>
        <v>0.30077239393458655</v>
      </c>
    </row>
    <row r="76" spans="2:4" ht="15.5" x14ac:dyDescent="0.3">
      <c r="B76" s="42">
        <v>44105</v>
      </c>
      <c r="C76" s="81">
        <f>(0.2*'AMPE-MCVE'!C75)+(0.8*'AMPE-MCVE'!D75)</f>
        <v>31.259506029222027</v>
      </c>
      <c r="D76" s="37">
        <f t="shared" ref="D76:D84" si="1">C76-C75</f>
        <v>7.7279727372481233E-2</v>
      </c>
    </row>
    <row r="77" spans="2:4" ht="15.5" x14ac:dyDescent="0.3">
      <c r="B77" s="41">
        <v>44136</v>
      </c>
      <c r="C77" s="82">
        <f>(0.2*'AMPE-MCVE'!C76)+(0.8*'AMPE-MCVE'!D76)</f>
        <v>31.073794068866881</v>
      </c>
      <c r="D77" s="34">
        <f t="shared" si="1"/>
        <v>-0.18571196035514603</v>
      </c>
    </row>
    <row r="78" spans="2:4" ht="15.5" x14ac:dyDescent="0.3">
      <c r="B78" s="42">
        <v>44166</v>
      </c>
      <c r="C78" s="81">
        <f>(0.2*'AMPE-MCVE'!C77)+(0.8*'AMPE-MCVE'!D77)</f>
        <v>31.360872763083314</v>
      </c>
      <c r="D78" s="37">
        <f t="shared" si="1"/>
        <v>0.28707869421643295</v>
      </c>
    </row>
    <row r="79" spans="2:4" ht="15.5" x14ac:dyDescent="0.3">
      <c r="B79" s="41">
        <v>44197</v>
      </c>
      <c r="C79" s="82">
        <f>(0.2*'AMPE-MCVE'!C78)+(0.8*'AMPE-MCVE'!D78)</f>
        <v>31.675223147156341</v>
      </c>
      <c r="D79" s="34">
        <f t="shared" si="1"/>
        <v>0.31435038407302685</v>
      </c>
    </row>
    <row r="80" spans="2:4" ht="15.5" x14ac:dyDescent="0.3">
      <c r="B80" s="42">
        <v>44228</v>
      </c>
      <c r="C80" s="81">
        <f>(0.2*'AMPE-MCVE'!C79)+(0.8*'AMPE-MCVE'!D79)</f>
        <v>32.144983661440051</v>
      </c>
      <c r="D80" s="37">
        <f t="shared" si="1"/>
        <v>0.4697605142837098</v>
      </c>
    </row>
    <row r="81" spans="2:4" ht="15.5" x14ac:dyDescent="0.3">
      <c r="B81" s="41">
        <v>44256</v>
      </c>
      <c r="C81" s="82">
        <f>(0.2*'AMPE-MCVE'!C80)+(0.8*'AMPE-MCVE'!D80)</f>
        <v>32.876394833039626</v>
      </c>
      <c r="D81" s="34">
        <f t="shared" si="1"/>
        <v>0.73141117159957503</v>
      </c>
    </row>
    <row r="82" spans="2:4" ht="15.5" x14ac:dyDescent="0.3">
      <c r="B82" s="42">
        <v>44287</v>
      </c>
      <c r="C82" s="81">
        <f>(0.2*'AMPE-MCVE'!C81)+(0.8*'AMPE-MCVE'!D81)</f>
        <v>33.396052186277636</v>
      </c>
      <c r="D82" s="37">
        <f t="shared" si="1"/>
        <v>0.51965735323800999</v>
      </c>
    </row>
    <row r="83" spans="2:4" ht="15.5" x14ac:dyDescent="0.3">
      <c r="B83" s="41">
        <v>44317</v>
      </c>
      <c r="C83" s="82">
        <f>(0.2*'AMPE-MCVE'!C82)+(0.8*'AMPE-MCVE'!D82)</f>
        <v>33.528315721847541</v>
      </c>
      <c r="D83" s="34">
        <f t="shared" si="1"/>
        <v>0.13226353556990489</v>
      </c>
    </row>
    <row r="84" spans="2:4" ht="15.5" x14ac:dyDescent="0.3">
      <c r="B84" s="42">
        <v>44348</v>
      </c>
      <c r="C84" s="81">
        <f>(0.2*'AMPE-MCVE'!C83)+(0.8*'AMPE-MCVE'!D83)</f>
        <v>33.389072224759403</v>
      </c>
      <c r="D84" s="37">
        <f t="shared" si="1"/>
        <v>-0.13924349708813821</v>
      </c>
    </row>
    <row r="85" spans="2:4" ht="15.5" x14ac:dyDescent="0.3">
      <c r="B85" s="41">
        <v>44378</v>
      </c>
      <c r="C85" s="82">
        <f>(0.2*'AMPE-MCVE'!C84)+(0.8*'AMPE-MCVE'!D84)</f>
        <v>33.059415895826255</v>
      </c>
      <c r="D85" s="34">
        <f t="shared" ref="D85:D86" si="2">C85-C84</f>
        <v>-0.32965632893314734</v>
      </c>
    </row>
    <row r="86" spans="2:4" ht="15.5" x14ac:dyDescent="0.3">
      <c r="B86" s="42">
        <v>44409</v>
      </c>
      <c r="C86" s="81">
        <f>(0.2*'AMPE-MCVE'!C85)+(0.8*'AMPE-MCVE'!D85)</f>
        <v>33.183974331896216</v>
      </c>
      <c r="D86" s="37">
        <f t="shared" si="2"/>
        <v>0.12455843606996098</v>
      </c>
    </row>
    <row r="87" spans="2:4" ht="15.5" x14ac:dyDescent="0.3">
      <c r="B87" s="41">
        <v>44440</v>
      </c>
      <c r="C87" s="82">
        <f>(0.2*'AMPE-MCVE'!C86)+(0.8*'AMPE-MCVE'!D86)</f>
        <v>34.312764793332754</v>
      </c>
      <c r="D87" s="34">
        <f t="shared" ref="D87:D88" si="3">C87-C86</f>
        <v>1.1287904614365374</v>
      </c>
    </row>
    <row r="88" spans="2:4" ht="15.5" x14ac:dyDescent="0.3">
      <c r="B88" s="42">
        <v>44470</v>
      </c>
      <c r="C88" s="81">
        <f>(0.2*'AMPE-MCVE'!C87)+(0.8*'AMPE-MCVE'!D87)</f>
        <v>36.561886292521386</v>
      </c>
      <c r="D88" s="37">
        <f t="shared" si="3"/>
        <v>2.2491214991886324</v>
      </c>
    </row>
    <row r="89" spans="2:4" ht="15.5" x14ac:dyDescent="0.3">
      <c r="B89" s="41">
        <v>44501</v>
      </c>
      <c r="C89" s="82">
        <f>(0.2*'AMPE-MCVE'!C88)+(0.8*'AMPE-MCVE'!D88)</f>
        <v>39.831340610770567</v>
      </c>
      <c r="D89" s="34">
        <f t="shared" ref="D89:D90" si="4">C89-C88</f>
        <v>3.2694543182491813</v>
      </c>
    </row>
    <row r="90" spans="2:4" ht="15.5" x14ac:dyDescent="0.3">
      <c r="B90" s="42">
        <v>44531</v>
      </c>
      <c r="C90" s="81">
        <f>(0.2*'AMPE-MCVE'!C89)+(0.8*'AMPE-MCVE'!D89)</f>
        <v>41.727454314998589</v>
      </c>
      <c r="D90" s="37">
        <f t="shared" si="4"/>
        <v>1.8961137042280214</v>
      </c>
    </row>
    <row r="91" spans="2:4" ht="15.5" x14ac:dyDescent="0.3">
      <c r="B91" s="41">
        <v>44562</v>
      </c>
      <c r="C91" s="82">
        <f>(0.2*'AMPE-MCVE'!C90)+(0.8*'AMPE-MCVE'!D90)</f>
        <v>43.960245217731497</v>
      </c>
      <c r="D91" s="34">
        <f t="shared" ref="D91:D92" si="5">C91-C90</f>
        <v>2.2327909027329085</v>
      </c>
    </row>
    <row r="92" spans="2:4" ht="15.5" x14ac:dyDescent="0.3">
      <c r="B92" s="42">
        <v>44593</v>
      </c>
      <c r="C92" s="81">
        <f>(0.2*'AMPE-MCVE'!C91)+(0.8*'AMPE-MCVE'!D91)</f>
        <v>46.421837104537794</v>
      </c>
      <c r="D92" s="37">
        <f t="shared" si="5"/>
        <v>2.4615918868062963</v>
      </c>
    </row>
    <row r="93" spans="2:4" ht="15.5" x14ac:dyDescent="0.3">
      <c r="B93" s="41">
        <v>44621</v>
      </c>
      <c r="C93" s="82">
        <f>(0.2*'AMPE-MCVE'!C92)+(0.8*'AMPE-MCVE'!D92)</f>
        <v>50.853702394709387</v>
      </c>
      <c r="D93" s="34">
        <f t="shared" ref="D93:D94" si="6">C93-C92</f>
        <v>4.4318652901715936</v>
      </c>
    </row>
    <row r="94" spans="2:4" ht="15.5" x14ac:dyDescent="0.3">
      <c r="B94" s="42">
        <v>44652</v>
      </c>
      <c r="C94" s="81">
        <f>(0.2*'AMPE-MCVE'!C93)+(0.8*'AMPE-MCVE'!D93)</f>
        <v>52.84639797685886</v>
      </c>
      <c r="D94" s="37">
        <f t="shared" si="6"/>
        <v>1.992695582149473</v>
      </c>
    </row>
    <row r="95" spans="2:4" ht="15.5" x14ac:dyDescent="0.3">
      <c r="B95" s="41">
        <v>44682</v>
      </c>
      <c r="C95" s="82">
        <f>(0.2*'AMPE-MCVE'!C94)+(0.8*'AMPE-MCVE'!D94)</f>
        <v>53.534513896285738</v>
      </c>
      <c r="D95" s="34">
        <f t="shared" ref="D95:D96" si="7">C95-C94</f>
        <v>0.68811591942687755</v>
      </c>
    </row>
    <row r="96" spans="2:4" ht="15.5" x14ac:dyDescent="0.3">
      <c r="B96" s="42">
        <v>44713</v>
      </c>
      <c r="C96" s="81">
        <f>(0.2*'AMPE-MCVE'!C95)+(0.8*'AMPE-MCVE'!D95)</f>
        <v>54.561490760262572</v>
      </c>
      <c r="D96" s="37">
        <f t="shared" si="7"/>
        <v>1.0269768639768344</v>
      </c>
    </row>
    <row r="97" spans="2:4" ht="15.5" x14ac:dyDescent="0.3">
      <c r="B97" s="41">
        <v>44743</v>
      </c>
      <c r="C97" s="82">
        <f>(0.2*'AMPE-MCVE'!C96)+(0.8*'AMPE-MCVE'!D96)</f>
        <v>53.353909058812761</v>
      </c>
      <c r="D97" s="34">
        <f t="shared" ref="D97:D98" si="8">C97-C96</f>
        <v>-1.2075817014498114</v>
      </c>
    </row>
    <row r="98" spans="2:4" ht="15.5" x14ac:dyDescent="0.3">
      <c r="B98" s="42">
        <v>44774</v>
      </c>
      <c r="C98" s="81">
        <f>(0.2*'AMPE-MCVE'!C97)+(0.8*'AMPE-MCVE'!D97)</f>
        <v>51.910331491496237</v>
      </c>
      <c r="D98" s="37">
        <f t="shared" si="8"/>
        <v>-1.4435775673165239</v>
      </c>
    </row>
    <row r="99" spans="2:4" ht="15.5" x14ac:dyDescent="0.3">
      <c r="B99" s="41">
        <v>44805</v>
      </c>
      <c r="C99" s="82">
        <f>(0.2*'AMPE-MCVE'!C98)+(0.8*'AMPE-MCVE'!D98)</f>
        <v>53.76184384319258</v>
      </c>
      <c r="D99" s="34">
        <f t="shared" ref="D99:D100" si="9">C99-C98</f>
        <v>1.8515123516963428</v>
      </c>
    </row>
    <row r="100" spans="2:4" ht="15.5" x14ac:dyDescent="0.3">
      <c r="B100" s="42">
        <v>44835</v>
      </c>
      <c r="C100" s="81">
        <f>(0.2*'AMPE-MCVE'!C99)+(0.8*'AMPE-MCVE'!D99)</f>
        <v>53.416328851564096</v>
      </c>
      <c r="D100" s="37">
        <f t="shared" si="9"/>
        <v>-0.34551499162848387</v>
      </c>
    </row>
    <row r="101" spans="2:4" ht="15.5" x14ac:dyDescent="0.3">
      <c r="B101" s="41">
        <v>44866</v>
      </c>
      <c r="C101" s="82">
        <f>(0.2*'AMPE-MCVE'!C100)+(0.8*'AMPE-MCVE'!D100)</f>
        <v>50.773135548861134</v>
      </c>
      <c r="D101" s="34">
        <f t="shared" ref="D101:D102" si="10">C101-C100</f>
        <v>-2.6431933027029615</v>
      </c>
    </row>
    <row r="102" spans="2:4" ht="15.5" x14ac:dyDescent="0.3">
      <c r="B102" s="42">
        <v>44896</v>
      </c>
      <c r="C102" s="81">
        <f>(0.2*'AMPE-MCVE'!C101)+(0.8*'AMPE-MCVE'!D101)</f>
        <v>46.204476202736473</v>
      </c>
      <c r="D102" s="37">
        <f t="shared" si="10"/>
        <v>-4.5686593461246616</v>
      </c>
    </row>
    <row r="103" spans="2:4" ht="15.5" x14ac:dyDescent="0.3">
      <c r="B103" s="41">
        <v>44927</v>
      </c>
      <c r="C103" s="82">
        <f>(0.2*'AMPE-MCVE'!C102)+(0.8*'AMPE-MCVE'!D102)</f>
        <v>42.581196321458904</v>
      </c>
      <c r="D103" s="34">
        <f>C103-C102</f>
        <v>-3.6232798812775684</v>
      </c>
    </row>
    <row r="104" spans="2:4" ht="15.5" x14ac:dyDescent="0.3">
      <c r="B104" s="42">
        <v>44958</v>
      </c>
      <c r="C104" s="81">
        <f>(0.2*'AMPE-MCVE'!C103)+(0.8*'AMPE-MCVE'!D103)</f>
        <v>37.298572427693131</v>
      </c>
      <c r="D104" s="37">
        <f t="shared" ref="D104" si="11">C104-C103</f>
        <v>-5.2826238937657735</v>
      </c>
    </row>
    <row r="105" spans="2:4" ht="15.5" x14ac:dyDescent="0.3">
      <c r="B105" s="41">
        <v>44986</v>
      </c>
      <c r="C105" s="82">
        <f>(0.2*'AMPE-MCVE'!C104)+(0.8*'AMPE-MCVE'!D104)</f>
        <v>37.375911444501924</v>
      </c>
      <c r="D105" s="34">
        <f>C105-C104</f>
        <v>7.7339016808792849E-2</v>
      </c>
    </row>
    <row r="106" spans="2:4" ht="15.5" x14ac:dyDescent="0.3">
      <c r="B106" s="42">
        <v>45017</v>
      </c>
      <c r="C106" s="81">
        <f>(0.2*'AMPE-MCVE'!C105)+(0.8*'AMPE-MCVE'!D105)</f>
        <v>35.499269168682375</v>
      </c>
      <c r="D106" s="37">
        <f t="shared" ref="D106" si="12">C106-C105</f>
        <v>-1.8766422758195489</v>
      </c>
    </row>
    <row r="107" spans="2:4" ht="15.5" x14ac:dyDescent="0.3">
      <c r="B107" s="41">
        <v>45047</v>
      </c>
      <c r="C107" s="82">
        <f>(0.2*'AMPE-MCVE'!C106)+(0.8*'AMPE-MCVE'!D106)</f>
        <v>35.402103847938385</v>
      </c>
      <c r="D107" s="34">
        <f t="shared" ref="D107:D108" si="13">C107-C106</f>
        <v>-9.716532074398998E-2</v>
      </c>
    </row>
    <row r="108" spans="2:4" ht="15.5" x14ac:dyDescent="0.3">
      <c r="B108" s="42">
        <v>45078</v>
      </c>
      <c r="C108" s="81">
        <f>(0.2*'AMPE-MCVE'!C107)+(0.8*'AMPE-MCVE'!D107)</f>
        <v>35.584304536242875</v>
      </c>
      <c r="D108" s="37">
        <f t="shared" si="13"/>
        <v>0.18220068830449065</v>
      </c>
    </row>
    <row r="109" spans="2:4" ht="15.5" x14ac:dyDescent="0.3">
      <c r="B109" s="41">
        <v>45108</v>
      </c>
      <c r="C109" s="82">
        <f>(0.2*'AMPE-MCVE'!C108)+(0.8*'AMPE-MCVE'!D108)</f>
        <v>33.615188094895785</v>
      </c>
      <c r="D109" s="34">
        <f t="shared" ref="D109:D110" si="14">C109-C108</f>
        <v>-1.9691164413470901</v>
      </c>
    </row>
    <row r="110" spans="2:4" ht="15.5" x14ac:dyDescent="0.3">
      <c r="B110" s="42">
        <v>45139</v>
      </c>
      <c r="C110" s="81">
        <f>(0.2*'AMPE-MCVE'!C109)+(0.8*'AMPE-MCVE'!D109)</f>
        <v>32.03931248995022</v>
      </c>
      <c r="D110" s="37">
        <f t="shared" si="14"/>
        <v>-1.5758756049455656</v>
      </c>
    </row>
    <row r="111" spans="2:4" ht="15.5" x14ac:dyDescent="0.3">
      <c r="B111" s="41">
        <v>45170</v>
      </c>
      <c r="C111" s="82">
        <f>(0.2*'AMPE-MCVE'!C110)+(0.8*'AMPE-MCVE'!D110)</f>
        <v>31.496373712768879</v>
      </c>
      <c r="D111" s="34">
        <f>C111-C110</f>
        <v>-0.54293877718134098</v>
      </c>
    </row>
    <row r="112" spans="2:4" ht="15.5" x14ac:dyDescent="0.3">
      <c r="B112" s="42">
        <v>45200</v>
      </c>
      <c r="C112" s="81">
        <f>(0.2*'AMPE-MCVE'!C111)+(0.8*'AMPE-MCVE'!D111)</f>
        <v>33.530844264738526</v>
      </c>
      <c r="D112" s="37">
        <f t="shared" ref="D112" si="15">C112-C111</f>
        <v>2.0344705519696475</v>
      </c>
    </row>
    <row r="113" spans="2:4" ht="15.5" x14ac:dyDescent="0.3">
      <c r="B113" s="41">
        <v>45231</v>
      </c>
      <c r="C113" s="82">
        <f>(0.2*'AMPE-MCVE'!C112)+(0.8*'AMPE-MCVE'!D112)</f>
        <v>35.667034429797496</v>
      </c>
      <c r="D113" s="34">
        <f>C113-C112</f>
        <v>2.1361901650589701</v>
      </c>
    </row>
    <row r="114" spans="2:4" ht="15.5" x14ac:dyDescent="0.3">
      <c r="B114" s="42">
        <v>45261</v>
      </c>
      <c r="C114" s="81">
        <f>(0.2*'AMPE-MCVE'!C113)+(0.8*'AMPE-MCVE'!D113)</f>
        <v>36.81980592945645</v>
      </c>
      <c r="D114" s="37">
        <f t="shared" ref="D114" si="16">C114-C113</f>
        <v>1.1527714996589538</v>
      </c>
    </row>
    <row r="115" spans="2:4" ht="15.5" x14ac:dyDescent="0.3">
      <c r="B115" s="41">
        <v>45292</v>
      </c>
      <c r="C115" s="82">
        <f>(0.2*'AMPE-MCVE'!C114)+(0.8*'AMPE-MCVE'!D114)</f>
        <v>37.579870023570415</v>
      </c>
      <c r="D115" s="34">
        <f>C115-C114</f>
        <v>0.76006409411396447</v>
      </c>
    </row>
    <row r="116" spans="2:4" ht="15.5" x14ac:dyDescent="0.3">
      <c r="B116" s="42">
        <v>45323</v>
      </c>
      <c r="C116" s="81">
        <f>(0.2*'AMPE-MCVE'!C115)+(0.8*'AMPE-MCVE'!D115)</f>
        <v>36.973413347534304</v>
      </c>
      <c r="D116" s="37">
        <f t="shared" ref="D116" si="17">C116-C115</f>
        <v>-0.60645667603611031</v>
      </c>
    </row>
    <row r="117" spans="2:4" ht="15.5" x14ac:dyDescent="0.3">
      <c r="B117" s="41">
        <v>45352</v>
      </c>
      <c r="C117" s="82">
        <f>(0.2*'AMPE-MCVE'!C116)+(0.8*'AMPE-MCVE'!D116)</f>
        <v>36.349464285446331</v>
      </c>
      <c r="D117" s="34">
        <f t="shared" ref="D117:D123" si="18">C117-C116</f>
        <v>-0.62394906208797352</v>
      </c>
    </row>
    <row r="118" spans="2:4" ht="15.5" x14ac:dyDescent="0.3">
      <c r="B118" s="42">
        <v>45383</v>
      </c>
      <c r="C118" s="81">
        <f>(0.2*'AMPE-MCVE'!C117)+(0.8*'AMPE-MCVE'!D117)</f>
        <v>35.682998771983478</v>
      </c>
      <c r="D118" s="37">
        <f t="shared" si="18"/>
        <v>-0.66646551346285321</v>
      </c>
    </row>
    <row r="119" spans="2:4" ht="15.5" x14ac:dyDescent="0.3">
      <c r="B119" s="41">
        <v>45413</v>
      </c>
      <c r="C119" s="82">
        <f>(0.2*'AMPE-MCVE'!C118)+(0.8*'AMPE-MCVE'!D118)</f>
        <v>36.538642873957642</v>
      </c>
      <c r="D119" s="34">
        <f t="shared" si="18"/>
        <v>0.85564410197416407</v>
      </c>
    </row>
    <row r="120" spans="2:4" ht="15.5" x14ac:dyDescent="0.3">
      <c r="B120" s="42">
        <v>45444</v>
      </c>
      <c r="C120" s="81">
        <f>(0.2*'AMPE-MCVE'!C119)+(0.8*'AMPE-MCVE'!D119)</f>
        <v>38.65149442735521</v>
      </c>
      <c r="D120" s="37">
        <f t="shared" si="18"/>
        <v>2.1128515533975687</v>
      </c>
    </row>
    <row r="121" spans="2:4" ht="15.5" x14ac:dyDescent="0.3">
      <c r="B121" s="41">
        <v>45474</v>
      </c>
      <c r="C121" s="82">
        <f>(0.2*'AMPE-MCVE'!C120)+(0.8*'AMPE-MCVE'!D120)</f>
        <v>39.819190301524969</v>
      </c>
      <c r="D121" s="34">
        <f t="shared" si="18"/>
        <v>1.167695874169759</v>
      </c>
    </row>
    <row r="122" spans="2:4" ht="15.5" x14ac:dyDescent="0.3">
      <c r="B122" s="42">
        <v>45505</v>
      </c>
      <c r="C122" s="81">
        <f>(0.2*'AMPE-MCVE'!C121)+(0.8*'AMPE-MCVE'!D121)</f>
        <v>41.294244057346077</v>
      </c>
      <c r="D122" s="37">
        <f t="shared" si="18"/>
        <v>1.4750537558211079</v>
      </c>
    </row>
    <row r="123" spans="2:4" ht="15.5" x14ac:dyDescent="0.3">
      <c r="B123" s="41">
        <v>45536</v>
      </c>
      <c r="C123" s="82">
        <f>(0.2*'AMPE-MCVE'!C122)+(0.8*'AMPE-MCVE'!D122)</f>
        <v>47.428741745837328</v>
      </c>
      <c r="D123" s="34">
        <f t="shared" si="18"/>
        <v>6.1344976884912512</v>
      </c>
    </row>
    <row r="124" spans="2:4" ht="15.5" x14ac:dyDescent="0.3">
      <c r="B124" s="42">
        <v>45566</v>
      </c>
      <c r="C124" s="81">
        <f>(0.2*'AMPE-MCVE'!C123)+(0.8*'AMPE-MCVE'!D123)</f>
        <v>48.421654195938629</v>
      </c>
      <c r="D124" s="37">
        <f t="shared" ref="D124:D125" si="19">C124-C123</f>
        <v>0.99291245010130069</v>
      </c>
    </row>
    <row r="125" spans="2:4" ht="15.5" x14ac:dyDescent="0.3">
      <c r="B125" s="41">
        <v>45597</v>
      </c>
      <c r="C125" s="82">
        <f>(0.2*'AMPE-MCVE'!C124)+(0.8*'AMPE-MCVE'!D124)</f>
        <v>47.660542891862725</v>
      </c>
      <c r="D125" s="34">
        <f t="shared" si="19"/>
        <v>-0.76111130407590366</v>
      </c>
    </row>
    <row r="126" spans="2:4" ht="15.5" x14ac:dyDescent="0.3">
      <c r="B126" s="42">
        <v>45627</v>
      </c>
      <c r="C126" s="81">
        <f>(0.2*'AMPE-MCVE'!C125)+(0.8*'AMPE-MCVE'!D125)</f>
        <v>46.594281473351785</v>
      </c>
      <c r="D126" s="37">
        <f t="shared" ref="D126:D127" si="20">C126-C125</f>
        <v>-1.0662614185109405</v>
      </c>
    </row>
    <row r="127" spans="2:4" ht="15.5" x14ac:dyDescent="0.3">
      <c r="B127" s="41">
        <v>45658</v>
      </c>
      <c r="C127" s="82">
        <f>(0.2*'AMPE-MCVE'!C126)+(0.8*'AMPE-MCVE'!D126)</f>
        <v>45.386196690807608</v>
      </c>
      <c r="D127" s="34">
        <f t="shared" si="20"/>
        <v>-1.2080847825441765</v>
      </c>
    </row>
    <row r="128" spans="2:4" ht="15.5" x14ac:dyDescent="0.3">
      <c r="B128" s="42">
        <v>45689</v>
      </c>
      <c r="C128" s="81">
        <f>(0.2*'AMPE-MCVE'!C127)+(0.8*'AMPE-MCVE'!D127)</f>
        <v>44.752557750225343</v>
      </c>
      <c r="D128" s="37">
        <f t="shared" ref="D128:D129" si="21">C128-C127</f>
        <v>-0.63363894058226577</v>
      </c>
    </row>
    <row r="129" spans="2:4" ht="15.5" x14ac:dyDescent="0.3">
      <c r="B129" s="41">
        <v>45717</v>
      </c>
      <c r="C129" s="82">
        <f>(0.2*'AMPE-MCVE'!C128)+(0.8*'AMPE-MCVE'!D128)</f>
        <v>45.551045212384402</v>
      </c>
      <c r="D129" s="34">
        <f t="shared" si="21"/>
        <v>0.79848746215905919</v>
      </c>
    </row>
    <row r="130" spans="2:4" ht="15.5" x14ac:dyDescent="0.3">
      <c r="B130" s="42">
        <v>45748</v>
      </c>
      <c r="C130" s="81">
        <f>(0.2*'AMPE-MCVE'!C129)+(0.8*'AMPE-MCVE'!D129)</f>
        <v>45.499066846308835</v>
      </c>
      <c r="D130" s="37">
        <f t="shared" ref="D130:D131" si="22">C130-C129</f>
        <v>-5.1978366075566385E-2</v>
      </c>
    </row>
    <row r="131" spans="2:4" ht="15.5" x14ac:dyDescent="0.3">
      <c r="B131" s="41">
        <v>45778</v>
      </c>
      <c r="C131" s="82">
        <f>(0.2*'AMPE-MCVE'!C130)+(0.8*'AMPE-MCVE'!D130)</f>
        <v>44.711903144364079</v>
      </c>
      <c r="D131" s="34">
        <f t="shared" si="22"/>
        <v>-0.78716370194475616</v>
      </c>
    </row>
    <row r="132" spans="2:4" ht="15.5" x14ac:dyDescent="0.3">
      <c r="B132" s="42">
        <v>45809</v>
      </c>
      <c r="C132" s="81">
        <f>(0.2*'AMPE-MCVE'!C131)+(0.8*'AMPE-MCVE'!D131)</f>
        <v>44.383700369295255</v>
      </c>
      <c r="D132" s="37">
        <f t="shared" ref="D132:D133" si="23">C132-C131</f>
        <v>-0.32820277506882434</v>
      </c>
    </row>
    <row r="133" spans="2:4" ht="15.5" x14ac:dyDescent="0.3">
      <c r="B133" s="41">
        <v>45839</v>
      </c>
      <c r="C133" s="82">
        <f>(0.2*'AMPE-MCVE'!C132)+(0.8*'AMPE-MCVE'!D132)</f>
        <v>44.105344379280176</v>
      </c>
      <c r="D133" s="34">
        <f t="shared" si="23"/>
        <v>-0.27835599001507916</v>
      </c>
    </row>
    <row r="134" spans="2:4" ht="15.5" x14ac:dyDescent="0.3">
      <c r="B134" s="42">
        <v>45870</v>
      </c>
      <c r="C134" s="81">
        <f>(0.2*'AMPE-MCVE'!C133)+(0.8*'AMPE-MCVE'!D133)</f>
        <v>43.555212437363679</v>
      </c>
      <c r="D134" s="37">
        <f t="shared" ref="D134" si="24">C134-C133</f>
        <v>-0.55013194191649717</v>
      </c>
    </row>
    <row r="135" spans="2:4" ht="15.5" x14ac:dyDescent="0.3">
      <c r="B135" s="41">
        <v>45901</v>
      </c>
      <c r="C135" s="82">
        <f>(0.2*'AMPE-MCVE'!C134)+(0.8*'AMPE-MCVE'!D134)</f>
        <v>39.044986832612913</v>
      </c>
      <c r="D135" s="34">
        <f t="shared" ref="D135" si="25">C135-C134</f>
        <v>-4.5102256047507652</v>
      </c>
    </row>
    <row r="136" spans="2:4" ht="15.5" x14ac:dyDescent="0.3">
      <c r="B136" s="42">
        <v>45931</v>
      </c>
      <c r="C136" s="81">
        <f>(0.2*'AMPE-MCVE'!C135)+(0.8*'AMPE-MCVE'!D135)</f>
        <v>34.930330345391198</v>
      </c>
      <c r="D136" s="37">
        <f t="shared" ref="D136" si="26">C136-C135</f>
        <v>-4.1146564872217155</v>
      </c>
    </row>
    <row r="137" spans="2:4" ht="15.5" x14ac:dyDescent="0.3">
      <c r="B137" s="41">
        <v>45962</v>
      </c>
      <c r="C137" s="82">
        <f>(0.2*'AMPE-MCVE'!C136)+(0.8*'AMPE-MCVE'!D136)</f>
        <v>33.146264297119671</v>
      </c>
      <c r="D137" s="34">
        <f t="shared" ref="D137" si="27">C137-C136</f>
        <v>-1.7840660482715265</v>
      </c>
    </row>
    <row r="138" spans="2:4" ht="15.5" x14ac:dyDescent="0.3">
      <c r="B138" s="42">
        <v>45992</v>
      </c>
      <c r="C138" s="81">
        <f>(0.2*'AMPE-MCVE'!C137)+(0.8*'AMPE-MCVE'!D137)</f>
        <v>31.172003746906285</v>
      </c>
      <c r="D138" s="37">
        <f t="shared" ref="D138:D139" si="28">C138-C137</f>
        <v>-1.974260550213387</v>
      </c>
    </row>
    <row r="139" spans="2:4" ht="15.5" x14ac:dyDescent="0.3">
      <c r="B139" s="41">
        <v>46023</v>
      </c>
      <c r="C139" s="82">
        <f>(0.2*'AMPE-MCVE'!C138)+(0.8*'AMPE-MCVE'!D138)</f>
        <v>31.44435353288025</v>
      </c>
      <c r="D139" s="34">
        <f t="shared" si="28"/>
        <v>0.2723497859739652</v>
      </c>
    </row>
    <row r="140" spans="2:4" ht="15.5" x14ac:dyDescent="0.3">
      <c r="B140" s="42">
        <v>46054</v>
      </c>
      <c r="C140" s="81">
        <f>(0.2*'AMPE-MCVE'!C139)+(0.8*'AMPE-MCVE'!D139)</f>
        <v>32.716651937149955</v>
      </c>
      <c r="D140" s="37">
        <f t="shared" ref="D140" si="29">C140-C139</f>
        <v>1.272298404269705</v>
      </c>
    </row>
  </sheetData>
  <mergeCells count="1">
    <mergeCell ref="C8:D8"/>
  </mergeCells>
  <pageMargins left="0.7" right="0.7" top="0.75" bottom="0.75" header="0.3" footer="0.3"/>
  <pageSetup paperSize="9" orientation="portrait" horizontalDpi="300" verticalDpi="300" r:id="rId1"/>
  <ignoredErrors>
    <ignoredError sqref="D53:D5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346"/>
  <sheetViews>
    <sheetView showGridLines="0" zoomScaleNormal="100" zoomScaleSheetLayoutView="143" zoomScalePageLayoutView="123" workbookViewId="0">
      <pane xSplit="2" ySplit="8" topLeftCell="C136" activePane="bottomRight" state="frozen"/>
      <selection activeCell="B107" sqref="B107"/>
      <selection pane="topRight" activeCell="B107" sqref="B107"/>
      <selection pane="bottomLeft" activeCell="B107" sqref="B107"/>
      <selection pane="bottomRight" activeCell="C139" sqref="C139"/>
    </sheetView>
  </sheetViews>
  <sheetFormatPr defaultColWidth="11.3984375" defaultRowHeight="15.5" x14ac:dyDescent="0.3"/>
  <cols>
    <col min="1" max="1" width="8.69921875" style="16" customWidth="1"/>
    <col min="2" max="5" width="11.69921875" style="17" customWidth="1"/>
    <col min="6" max="6" width="8.59765625" style="17" customWidth="1"/>
    <col min="7" max="9" width="11.69921875" style="17" customWidth="1"/>
    <col min="10" max="16384" width="11.3984375" style="17"/>
  </cols>
  <sheetData>
    <row r="1" spans="1:36" s="4" customFormat="1" ht="27" customHeight="1" x14ac:dyDescent="0.35"/>
    <row r="2" spans="1:36" s="6" customFormat="1" ht="21" customHeight="1" x14ac:dyDescent="0.4">
      <c r="A2" s="26" t="s">
        <v>49</v>
      </c>
      <c r="B2" s="26"/>
      <c r="C2" s="26"/>
      <c r="D2" s="26"/>
      <c r="E2" s="26"/>
      <c r="F2" s="26"/>
      <c r="G2" s="26"/>
      <c r="H2" s="26"/>
      <c r="I2" s="26"/>
      <c r="J2" s="5"/>
      <c r="K2" s="5"/>
      <c r="L2" s="5"/>
      <c r="M2" s="5"/>
      <c r="N2" s="5"/>
      <c r="O2" s="5"/>
      <c r="P2" s="5"/>
      <c r="Q2" s="5"/>
      <c r="R2" s="5"/>
      <c r="S2" s="5"/>
      <c r="T2" s="5"/>
      <c r="U2" s="5"/>
      <c r="V2" s="5"/>
      <c r="W2" s="5"/>
      <c r="X2" s="5"/>
      <c r="Y2" s="5"/>
      <c r="Z2" s="5"/>
      <c r="AA2" s="5"/>
      <c r="AB2" s="5"/>
      <c r="AC2" s="5"/>
      <c r="AD2" s="5"/>
      <c r="AE2" s="5"/>
      <c r="AF2" s="5"/>
      <c r="AG2" s="5"/>
      <c r="AH2" s="5"/>
      <c r="AI2" s="5"/>
      <c r="AJ2" s="5"/>
    </row>
    <row r="3" spans="1:36" s="10" customFormat="1" ht="12.75" customHeight="1" x14ac:dyDescent="0.3">
      <c r="A3" s="7" t="s">
        <v>22</v>
      </c>
      <c r="B3" s="7"/>
      <c r="C3" s="7"/>
      <c r="D3" s="7"/>
      <c r="E3" s="7"/>
      <c r="F3" s="7"/>
      <c r="G3" s="8"/>
      <c r="H3" s="9"/>
      <c r="I3" s="9"/>
      <c r="J3" s="9"/>
      <c r="K3" s="8"/>
      <c r="L3" s="8"/>
      <c r="M3" s="8"/>
      <c r="N3" s="8"/>
      <c r="O3" s="8"/>
      <c r="P3" s="8"/>
      <c r="Q3" s="8"/>
      <c r="R3" s="8"/>
      <c r="S3" s="8"/>
      <c r="T3" s="8"/>
      <c r="U3" s="8"/>
      <c r="V3" s="8"/>
      <c r="W3" s="8"/>
      <c r="X3" s="8"/>
      <c r="Y3" s="8"/>
      <c r="Z3" s="8"/>
      <c r="AA3" s="8"/>
      <c r="AB3" s="8"/>
      <c r="AC3" s="8"/>
      <c r="AD3" s="8"/>
      <c r="AE3" s="8"/>
      <c r="AF3" s="8"/>
      <c r="AG3" s="8"/>
      <c r="AH3" s="8"/>
      <c r="AI3" s="8"/>
      <c r="AJ3" s="8"/>
    </row>
    <row r="4" spans="1:36" s="13" customFormat="1" ht="15" customHeight="1" x14ac:dyDescent="0.35">
      <c r="A4" s="11" t="s">
        <v>50</v>
      </c>
      <c r="B4" s="11"/>
      <c r="C4" s="11"/>
      <c r="D4" s="11"/>
      <c r="E4" s="11"/>
      <c r="F4" s="11"/>
      <c r="G4" s="12"/>
      <c r="H4" s="9"/>
      <c r="I4" s="9"/>
      <c r="J4" s="9"/>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15" customFormat="1" ht="13.5" customHeight="1" x14ac:dyDescent="0.35">
      <c r="A5" s="7" t="s">
        <v>60</v>
      </c>
      <c r="B5" s="7"/>
      <c r="C5" s="7"/>
      <c r="D5" s="7"/>
      <c r="E5" s="7"/>
      <c r="F5" s="7"/>
      <c r="G5" s="14"/>
      <c r="H5" s="9"/>
      <c r="I5" s="9"/>
      <c r="J5" s="9"/>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x14ac:dyDescent="0.3">
      <c r="A6" s="16" t="s">
        <v>35</v>
      </c>
      <c r="B6" s="16"/>
      <c r="C6" s="99" t="s">
        <v>51</v>
      </c>
      <c r="D6" s="100"/>
      <c r="E6" s="100"/>
      <c r="F6" s="16"/>
      <c r="G6" s="101" t="s">
        <v>52</v>
      </c>
      <c r="H6" s="102"/>
      <c r="I6" s="102"/>
      <c r="J6" s="9"/>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46.5" x14ac:dyDescent="0.3">
      <c r="B7" s="18"/>
      <c r="C7" s="19" t="s">
        <v>2</v>
      </c>
      <c r="D7" s="19" t="s">
        <v>3</v>
      </c>
      <c r="E7" s="19" t="s">
        <v>5</v>
      </c>
      <c r="G7" s="20" t="s">
        <v>7</v>
      </c>
      <c r="H7" s="20" t="s">
        <v>9</v>
      </c>
      <c r="I7" s="20" t="s">
        <v>8</v>
      </c>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6" x14ac:dyDescent="0.3">
      <c r="B8" s="18"/>
      <c r="C8" s="21" t="s">
        <v>6</v>
      </c>
      <c r="D8" s="21" t="s">
        <v>6</v>
      </c>
      <c r="E8" s="21" t="s">
        <v>6</v>
      </c>
      <c r="F8" s="16"/>
      <c r="G8" s="21" t="s">
        <v>6</v>
      </c>
      <c r="H8" s="21" t="s">
        <v>6</v>
      </c>
      <c r="I8" s="21" t="s">
        <v>6</v>
      </c>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6" x14ac:dyDescent="0.3">
      <c r="B9" s="42">
        <v>42095</v>
      </c>
      <c r="C9" s="38">
        <v>244</v>
      </c>
      <c r="D9" s="38">
        <v>365</v>
      </c>
      <c r="E9" s="38">
        <v>365</v>
      </c>
      <c r="F9" s="35"/>
      <c r="G9" s="38">
        <v>330</v>
      </c>
      <c r="H9" s="38">
        <v>341</v>
      </c>
      <c r="I9" s="38">
        <v>244</v>
      </c>
      <c r="J9" s="16"/>
      <c r="K9" s="16"/>
      <c r="L9" s="16"/>
      <c r="M9" s="16"/>
      <c r="N9" s="16"/>
      <c r="O9" s="16"/>
      <c r="P9" s="16"/>
      <c r="Q9" s="16"/>
      <c r="R9" s="16"/>
      <c r="S9" s="16"/>
      <c r="T9" s="16"/>
      <c r="U9" s="16"/>
      <c r="V9" s="16"/>
      <c r="W9" s="16"/>
      <c r="X9" s="16"/>
      <c r="Y9" s="16"/>
      <c r="Z9" s="16"/>
      <c r="AA9" s="16"/>
      <c r="AB9" s="16"/>
      <c r="AC9" s="16"/>
      <c r="AD9" s="16"/>
      <c r="AE9" s="16"/>
      <c r="AF9" s="16"/>
      <c r="AG9" s="16"/>
      <c r="AH9" s="16"/>
      <c r="AI9" s="16"/>
    </row>
    <row r="10" spans="1:36" x14ac:dyDescent="0.3">
      <c r="B10" s="41">
        <v>42125</v>
      </c>
      <c r="C10" s="36">
        <v>244</v>
      </c>
      <c r="D10" s="36">
        <v>365</v>
      </c>
      <c r="E10" s="36">
        <v>365</v>
      </c>
      <c r="F10" s="35"/>
      <c r="G10" s="36">
        <v>330</v>
      </c>
      <c r="H10" s="36">
        <v>341</v>
      </c>
      <c r="I10" s="36">
        <v>244</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6" x14ac:dyDescent="0.3">
      <c r="B11" s="42">
        <v>42156</v>
      </c>
      <c r="C11" s="38">
        <v>244</v>
      </c>
      <c r="D11" s="38">
        <v>365</v>
      </c>
      <c r="E11" s="38">
        <v>365</v>
      </c>
      <c r="F11" s="35"/>
      <c r="G11" s="38">
        <v>330</v>
      </c>
      <c r="H11" s="38">
        <v>341</v>
      </c>
      <c r="I11" s="38">
        <v>244</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6" x14ac:dyDescent="0.3">
      <c r="B12" s="41">
        <v>42186</v>
      </c>
      <c r="C12" s="36">
        <v>244</v>
      </c>
      <c r="D12" s="36">
        <v>365</v>
      </c>
      <c r="E12" s="36">
        <v>365</v>
      </c>
      <c r="F12" s="35"/>
      <c r="G12" s="36">
        <v>330</v>
      </c>
      <c r="H12" s="36">
        <v>341</v>
      </c>
      <c r="I12" s="36">
        <v>244</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6" x14ac:dyDescent="0.3">
      <c r="B13" s="42">
        <v>42217</v>
      </c>
      <c r="C13" s="38">
        <v>244</v>
      </c>
      <c r="D13" s="38">
        <v>365</v>
      </c>
      <c r="E13" s="38">
        <v>365</v>
      </c>
      <c r="F13" s="35"/>
      <c r="G13" s="38">
        <v>330</v>
      </c>
      <c r="H13" s="38">
        <v>341</v>
      </c>
      <c r="I13" s="38">
        <v>244</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6" x14ac:dyDescent="0.3">
      <c r="B14" s="41">
        <v>42248</v>
      </c>
      <c r="C14" s="36">
        <v>244</v>
      </c>
      <c r="D14" s="36">
        <v>365</v>
      </c>
      <c r="E14" s="36">
        <v>365</v>
      </c>
      <c r="F14" s="35"/>
      <c r="G14" s="36">
        <v>330</v>
      </c>
      <c r="H14" s="36">
        <v>341</v>
      </c>
      <c r="I14" s="36">
        <v>244</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6" x14ac:dyDescent="0.3">
      <c r="B15" s="42">
        <v>42278</v>
      </c>
      <c r="C15" s="38">
        <v>244</v>
      </c>
      <c r="D15" s="38">
        <v>365</v>
      </c>
      <c r="E15" s="38">
        <v>365</v>
      </c>
      <c r="F15" s="35"/>
      <c r="G15" s="38">
        <v>330</v>
      </c>
      <c r="H15" s="38">
        <v>341</v>
      </c>
      <c r="I15" s="38">
        <v>244</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6" x14ac:dyDescent="0.3">
      <c r="B16" s="41">
        <v>42309</v>
      </c>
      <c r="C16" s="36">
        <v>244</v>
      </c>
      <c r="D16" s="36">
        <v>365</v>
      </c>
      <c r="E16" s="36">
        <v>365</v>
      </c>
      <c r="F16" s="35"/>
      <c r="G16" s="36">
        <v>330</v>
      </c>
      <c r="H16" s="36">
        <v>341</v>
      </c>
      <c r="I16" s="36">
        <v>244</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2:35" x14ac:dyDescent="0.3">
      <c r="B17" s="42">
        <v>42339</v>
      </c>
      <c r="C17" s="38">
        <v>244</v>
      </c>
      <c r="D17" s="38">
        <v>365</v>
      </c>
      <c r="E17" s="38">
        <v>365</v>
      </c>
      <c r="F17" s="35"/>
      <c r="G17" s="38">
        <v>330</v>
      </c>
      <c r="H17" s="38">
        <v>341</v>
      </c>
      <c r="I17" s="38">
        <v>244</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2:35" x14ac:dyDescent="0.3">
      <c r="B18" s="41">
        <v>42370</v>
      </c>
      <c r="C18" s="36">
        <v>244</v>
      </c>
      <c r="D18" s="36">
        <v>365</v>
      </c>
      <c r="E18" s="36">
        <v>365</v>
      </c>
      <c r="F18" s="35"/>
      <c r="G18" s="36">
        <v>330</v>
      </c>
      <c r="H18" s="36">
        <v>341</v>
      </c>
      <c r="I18" s="36">
        <v>244</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2:35" x14ac:dyDescent="0.3">
      <c r="B19" s="42">
        <v>42401</v>
      </c>
      <c r="C19" s="38">
        <v>244</v>
      </c>
      <c r="D19" s="38">
        <v>365</v>
      </c>
      <c r="E19" s="38">
        <v>365</v>
      </c>
      <c r="F19" s="35"/>
      <c r="G19" s="38">
        <v>330</v>
      </c>
      <c r="H19" s="38">
        <v>341</v>
      </c>
      <c r="I19" s="38">
        <v>244</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2:35" x14ac:dyDescent="0.3">
      <c r="B20" s="41">
        <v>42430</v>
      </c>
      <c r="C20" s="36">
        <v>244</v>
      </c>
      <c r="D20" s="36">
        <v>365</v>
      </c>
      <c r="E20" s="36">
        <v>365</v>
      </c>
      <c r="F20" s="35"/>
      <c r="G20" s="36">
        <v>330</v>
      </c>
      <c r="H20" s="36">
        <v>341</v>
      </c>
      <c r="I20" s="36">
        <v>244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2:35" x14ac:dyDescent="0.3">
      <c r="B21" s="42">
        <v>42461</v>
      </c>
      <c r="C21" s="38">
        <v>244</v>
      </c>
      <c r="D21" s="38">
        <v>365</v>
      </c>
      <c r="E21" s="38">
        <v>365</v>
      </c>
      <c r="F21" s="35"/>
      <c r="G21" s="38">
        <v>330</v>
      </c>
      <c r="H21" s="38">
        <v>341</v>
      </c>
      <c r="I21" s="38">
        <v>244</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2:35" x14ac:dyDescent="0.3">
      <c r="B22" s="41">
        <v>42491</v>
      </c>
      <c r="C22" s="36">
        <v>244</v>
      </c>
      <c r="D22" s="36">
        <v>365</v>
      </c>
      <c r="E22" s="36">
        <v>365</v>
      </c>
      <c r="F22" s="35"/>
      <c r="G22" s="36">
        <v>330</v>
      </c>
      <c r="H22" s="36">
        <v>341</v>
      </c>
      <c r="I22" s="36">
        <v>244</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2:35" x14ac:dyDescent="0.3">
      <c r="B23" s="42">
        <v>42522</v>
      </c>
      <c r="C23" s="38">
        <v>244</v>
      </c>
      <c r="D23" s="38">
        <v>365</v>
      </c>
      <c r="E23" s="38">
        <v>365</v>
      </c>
      <c r="F23" s="35"/>
      <c r="G23" s="38">
        <v>330</v>
      </c>
      <c r="H23" s="38">
        <v>341</v>
      </c>
      <c r="I23" s="38">
        <v>244</v>
      </c>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2:35" x14ac:dyDescent="0.3">
      <c r="B24" s="41">
        <v>42552</v>
      </c>
      <c r="C24" s="36">
        <v>244</v>
      </c>
      <c r="D24" s="36">
        <v>365</v>
      </c>
      <c r="E24" s="36">
        <v>365</v>
      </c>
      <c r="F24" s="35"/>
      <c r="G24" s="36">
        <v>330</v>
      </c>
      <c r="H24" s="36">
        <v>341</v>
      </c>
      <c r="I24" s="36">
        <v>244</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x14ac:dyDescent="0.3">
      <c r="B25" s="42">
        <v>42583</v>
      </c>
      <c r="C25" s="38">
        <v>244</v>
      </c>
      <c r="D25" s="38">
        <v>365</v>
      </c>
      <c r="E25" s="38">
        <v>365</v>
      </c>
      <c r="F25" s="35"/>
      <c r="G25" s="38">
        <v>330</v>
      </c>
      <c r="H25" s="38">
        <v>341</v>
      </c>
      <c r="I25" s="38">
        <v>244</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2:35" x14ac:dyDescent="0.3">
      <c r="B26" s="41">
        <v>42614</v>
      </c>
      <c r="C26" s="36">
        <v>244</v>
      </c>
      <c r="D26" s="36">
        <v>365</v>
      </c>
      <c r="E26" s="36">
        <v>365</v>
      </c>
      <c r="F26" s="35"/>
      <c r="G26" s="36">
        <v>330</v>
      </c>
      <c r="H26" s="36">
        <v>341</v>
      </c>
      <c r="I26" s="36">
        <v>244</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5" x14ac:dyDescent="0.3">
      <c r="B27" s="42">
        <v>42644</v>
      </c>
      <c r="C27" s="38">
        <v>244</v>
      </c>
      <c r="D27" s="38">
        <v>365</v>
      </c>
      <c r="E27" s="38">
        <v>365</v>
      </c>
      <c r="F27" s="35"/>
      <c r="G27" s="38">
        <v>330</v>
      </c>
      <c r="H27" s="38">
        <v>341</v>
      </c>
      <c r="I27" s="38">
        <v>244</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2:35" x14ac:dyDescent="0.3">
      <c r="B28" s="41">
        <v>42675</v>
      </c>
      <c r="C28" s="36">
        <v>244</v>
      </c>
      <c r="D28" s="36">
        <v>365</v>
      </c>
      <c r="E28" s="36">
        <v>365</v>
      </c>
      <c r="F28" s="35"/>
      <c r="G28" s="36">
        <v>330</v>
      </c>
      <c r="H28" s="36">
        <v>341</v>
      </c>
      <c r="I28" s="36">
        <v>244</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2:35" x14ac:dyDescent="0.3">
      <c r="B29" s="42">
        <v>42705</v>
      </c>
      <c r="C29" s="38">
        <v>244</v>
      </c>
      <c r="D29" s="38">
        <v>365</v>
      </c>
      <c r="E29" s="38">
        <v>365</v>
      </c>
      <c r="F29" s="35"/>
      <c r="G29" s="38">
        <v>330</v>
      </c>
      <c r="H29" s="38">
        <v>341</v>
      </c>
      <c r="I29" s="38">
        <v>244</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2:35" x14ac:dyDescent="0.3">
      <c r="B30" s="41">
        <v>42736</v>
      </c>
      <c r="C30" s="36">
        <v>244</v>
      </c>
      <c r="D30" s="36">
        <v>365</v>
      </c>
      <c r="E30" s="36">
        <v>365</v>
      </c>
      <c r="F30" s="35"/>
      <c r="G30" s="36">
        <v>330</v>
      </c>
      <c r="H30" s="36">
        <v>341</v>
      </c>
      <c r="I30" s="36">
        <v>244</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2:35" x14ac:dyDescent="0.3">
      <c r="B31" s="42">
        <v>42767</v>
      </c>
      <c r="C31" s="38">
        <v>244</v>
      </c>
      <c r="D31" s="38">
        <v>365</v>
      </c>
      <c r="E31" s="38">
        <v>365</v>
      </c>
      <c r="F31" s="35"/>
      <c r="G31" s="38">
        <v>330</v>
      </c>
      <c r="H31" s="38">
        <v>341</v>
      </c>
      <c r="I31" s="38">
        <v>244</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x14ac:dyDescent="0.3">
      <c r="B32" s="41">
        <v>42795</v>
      </c>
      <c r="C32" s="36">
        <v>244</v>
      </c>
      <c r="D32" s="36">
        <v>365</v>
      </c>
      <c r="E32" s="36">
        <v>365</v>
      </c>
      <c r="F32" s="35"/>
      <c r="G32" s="36">
        <v>330</v>
      </c>
      <c r="H32" s="36">
        <v>341</v>
      </c>
      <c r="I32" s="36">
        <v>244</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2:35" x14ac:dyDescent="0.3">
      <c r="B33" s="42">
        <v>42826</v>
      </c>
      <c r="C33" s="38">
        <v>244</v>
      </c>
      <c r="D33" s="38">
        <v>365</v>
      </c>
      <c r="E33" s="38">
        <v>365</v>
      </c>
      <c r="F33" s="35"/>
      <c r="G33" s="38">
        <v>330</v>
      </c>
      <c r="H33" s="38">
        <v>341</v>
      </c>
      <c r="I33" s="38">
        <v>244</v>
      </c>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x14ac:dyDescent="0.3">
      <c r="B34" s="41">
        <v>42856</v>
      </c>
      <c r="C34" s="36">
        <v>244</v>
      </c>
      <c r="D34" s="36">
        <v>365</v>
      </c>
      <c r="E34" s="36">
        <v>365</v>
      </c>
      <c r="F34" s="35"/>
      <c r="G34" s="36">
        <v>330</v>
      </c>
      <c r="H34" s="36">
        <v>341</v>
      </c>
      <c r="I34" s="36">
        <v>244</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row>
    <row r="35" spans="2:35" x14ac:dyDescent="0.3">
      <c r="B35" s="42">
        <v>42887</v>
      </c>
      <c r="C35" s="38">
        <v>244</v>
      </c>
      <c r="D35" s="38">
        <v>365</v>
      </c>
      <c r="E35" s="38">
        <v>365</v>
      </c>
      <c r="F35" s="35"/>
      <c r="G35" s="38">
        <v>330</v>
      </c>
      <c r="H35" s="38">
        <v>341</v>
      </c>
      <c r="I35" s="38">
        <v>244</v>
      </c>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row>
    <row r="36" spans="2:35" x14ac:dyDescent="0.3">
      <c r="B36" s="41">
        <v>42917</v>
      </c>
      <c r="C36" s="36">
        <v>244</v>
      </c>
      <c r="D36" s="36">
        <v>365</v>
      </c>
      <c r="E36" s="36">
        <v>365</v>
      </c>
      <c r="F36" s="35"/>
      <c r="G36" s="36">
        <v>330</v>
      </c>
      <c r="H36" s="36">
        <v>341</v>
      </c>
      <c r="I36" s="36">
        <v>244</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2:35" x14ac:dyDescent="0.3">
      <c r="B37" s="42">
        <v>42948</v>
      </c>
      <c r="C37" s="38">
        <v>244</v>
      </c>
      <c r="D37" s="38">
        <v>365</v>
      </c>
      <c r="E37" s="38">
        <v>365</v>
      </c>
      <c r="F37" s="35"/>
      <c r="G37" s="38">
        <v>330</v>
      </c>
      <c r="H37" s="38">
        <v>341</v>
      </c>
      <c r="I37" s="38">
        <v>244</v>
      </c>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2:35" x14ac:dyDescent="0.3">
      <c r="B38" s="41">
        <v>42979</v>
      </c>
      <c r="C38" s="36">
        <v>244</v>
      </c>
      <c r="D38" s="36">
        <v>365</v>
      </c>
      <c r="E38" s="36">
        <v>365</v>
      </c>
      <c r="F38" s="35"/>
      <c r="G38" s="36">
        <v>330</v>
      </c>
      <c r="H38" s="36">
        <v>341</v>
      </c>
      <c r="I38" s="36">
        <v>244</v>
      </c>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2:35" x14ac:dyDescent="0.3">
      <c r="B39" s="42">
        <v>43009</v>
      </c>
      <c r="C39" s="38">
        <v>244</v>
      </c>
      <c r="D39" s="38">
        <v>365</v>
      </c>
      <c r="E39" s="38">
        <v>365</v>
      </c>
      <c r="F39" s="35"/>
      <c r="G39" s="38">
        <v>330</v>
      </c>
      <c r="H39" s="38">
        <v>341</v>
      </c>
      <c r="I39" s="38">
        <v>244</v>
      </c>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2:35" x14ac:dyDescent="0.3">
      <c r="B40" s="41">
        <v>43040</v>
      </c>
      <c r="C40" s="36">
        <v>244</v>
      </c>
      <c r="D40" s="36">
        <v>365</v>
      </c>
      <c r="E40" s="36">
        <v>365</v>
      </c>
      <c r="F40" s="35"/>
      <c r="G40" s="36">
        <v>330</v>
      </c>
      <c r="H40" s="36">
        <v>341</v>
      </c>
      <c r="I40" s="36">
        <v>244</v>
      </c>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5" x14ac:dyDescent="0.3">
      <c r="B41" s="42">
        <v>43070</v>
      </c>
      <c r="C41" s="38">
        <v>244</v>
      </c>
      <c r="D41" s="38">
        <v>365</v>
      </c>
      <c r="E41" s="38">
        <v>365</v>
      </c>
      <c r="F41" s="35"/>
      <c r="G41" s="38">
        <v>330</v>
      </c>
      <c r="H41" s="38">
        <v>341</v>
      </c>
      <c r="I41" s="38">
        <v>244</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5" x14ac:dyDescent="0.3">
      <c r="B42" s="41">
        <v>43101</v>
      </c>
      <c r="C42" s="36">
        <v>244</v>
      </c>
      <c r="D42" s="36">
        <v>365</v>
      </c>
      <c r="E42" s="36">
        <v>365</v>
      </c>
      <c r="F42" s="35"/>
      <c r="G42" s="36">
        <v>330</v>
      </c>
      <c r="H42" s="36">
        <v>341</v>
      </c>
      <c r="I42" s="36">
        <v>244</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2:35" x14ac:dyDescent="0.3">
      <c r="B43" s="42">
        <v>43132</v>
      </c>
      <c r="C43" s="38">
        <v>244</v>
      </c>
      <c r="D43" s="38">
        <v>365</v>
      </c>
      <c r="E43" s="38">
        <v>365</v>
      </c>
      <c r="F43" s="35"/>
      <c r="G43" s="38">
        <v>330</v>
      </c>
      <c r="H43" s="38">
        <v>341</v>
      </c>
      <c r="I43" s="38">
        <v>244</v>
      </c>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2:35" x14ac:dyDescent="0.3">
      <c r="B44" s="41">
        <v>43160</v>
      </c>
      <c r="C44" s="36">
        <v>244</v>
      </c>
      <c r="D44" s="36">
        <v>365</v>
      </c>
      <c r="E44" s="36">
        <v>365</v>
      </c>
      <c r="F44" s="35"/>
      <c r="G44" s="36">
        <v>330</v>
      </c>
      <c r="H44" s="36">
        <v>341</v>
      </c>
      <c r="I44" s="36">
        <v>244</v>
      </c>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2:35" x14ac:dyDescent="0.3">
      <c r="B45" s="42">
        <v>43191</v>
      </c>
      <c r="C45" s="38">
        <v>244</v>
      </c>
      <c r="D45" s="38">
        <v>365</v>
      </c>
      <c r="E45" s="38">
        <v>365</v>
      </c>
      <c r="F45" s="35"/>
      <c r="G45" s="38">
        <v>330</v>
      </c>
      <c r="H45" s="38">
        <v>341</v>
      </c>
      <c r="I45" s="38">
        <v>244</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5" x14ac:dyDescent="0.3">
      <c r="B46" s="41">
        <v>43221</v>
      </c>
      <c r="C46" s="36">
        <v>244</v>
      </c>
      <c r="D46" s="36">
        <v>365</v>
      </c>
      <c r="E46" s="36">
        <v>365</v>
      </c>
      <c r="F46" s="35"/>
      <c r="G46" s="36">
        <v>330</v>
      </c>
      <c r="H46" s="36">
        <v>341</v>
      </c>
      <c r="I46" s="36">
        <v>244</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5" x14ac:dyDescent="0.3">
      <c r="B47" s="42">
        <v>43252</v>
      </c>
      <c r="C47" s="38">
        <v>244</v>
      </c>
      <c r="D47" s="38">
        <v>365</v>
      </c>
      <c r="E47" s="38">
        <v>365</v>
      </c>
      <c r="F47" s="35"/>
      <c r="G47" s="38">
        <v>330</v>
      </c>
      <c r="H47" s="38">
        <v>341</v>
      </c>
      <c r="I47" s="38">
        <v>244</v>
      </c>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5" x14ac:dyDescent="0.3">
      <c r="B48" s="41">
        <v>43282</v>
      </c>
      <c r="C48" s="36">
        <v>244</v>
      </c>
      <c r="D48" s="36">
        <v>365</v>
      </c>
      <c r="E48" s="36">
        <v>365</v>
      </c>
      <c r="F48" s="35"/>
      <c r="G48" s="36">
        <v>330</v>
      </c>
      <c r="H48" s="36">
        <v>341</v>
      </c>
      <c r="I48" s="36">
        <v>244</v>
      </c>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2:36" x14ac:dyDescent="0.3">
      <c r="B49" s="42">
        <v>43313</v>
      </c>
      <c r="C49" s="38">
        <v>244</v>
      </c>
      <c r="D49" s="38">
        <v>365</v>
      </c>
      <c r="E49" s="38">
        <v>365</v>
      </c>
      <c r="F49" s="35"/>
      <c r="G49" s="38">
        <v>330</v>
      </c>
      <c r="H49" s="38">
        <v>341</v>
      </c>
      <c r="I49" s="38">
        <v>244</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2:36" x14ac:dyDescent="0.3">
      <c r="B50" s="41">
        <v>43344</v>
      </c>
      <c r="C50" s="36">
        <v>244</v>
      </c>
      <c r="D50" s="36">
        <v>365</v>
      </c>
      <c r="E50" s="36">
        <v>365</v>
      </c>
      <c r="F50" s="35"/>
      <c r="G50" s="36">
        <v>330</v>
      </c>
      <c r="H50" s="36">
        <v>341</v>
      </c>
      <c r="I50" s="36">
        <v>244</v>
      </c>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2:36" x14ac:dyDescent="0.3">
      <c r="B51" s="42">
        <v>43374</v>
      </c>
      <c r="C51" s="38">
        <v>244</v>
      </c>
      <c r="D51" s="38">
        <v>365</v>
      </c>
      <c r="E51" s="38">
        <v>365</v>
      </c>
      <c r="F51" s="35"/>
      <c r="G51" s="38">
        <v>330</v>
      </c>
      <c r="H51" s="38">
        <v>341</v>
      </c>
      <c r="I51" s="38">
        <v>244</v>
      </c>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2:36" x14ac:dyDescent="0.3">
      <c r="B52" s="41">
        <v>43405</v>
      </c>
      <c r="C52" s="36">
        <v>244</v>
      </c>
      <c r="D52" s="36">
        <v>365</v>
      </c>
      <c r="E52" s="36">
        <v>365</v>
      </c>
      <c r="F52" s="35"/>
      <c r="G52" s="36">
        <v>330</v>
      </c>
      <c r="H52" s="36">
        <v>341</v>
      </c>
      <c r="I52" s="36">
        <v>244</v>
      </c>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2:36" x14ac:dyDescent="0.3">
      <c r="B53" s="42">
        <v>43435</v>
      </c>
      <c r="C53" s="38">
        <v>244</v>
      </c>
      <c r="D53" s="38">
        <v>365</v>
      </c>
      <c r="E53" s="38">
        <v>365</v>
      </c>
      <c r="F53" s="35"/>
      <c r="G53" s="38">
        <v>330</v>
      </c>
      <c r="H53" s="38">
        <v>341</v>
      </c>
      <c r="I53" s="38">
        <v>244</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2:36" x14ac:dyDescent="0.3">
      <c r="B54" s="41">
        <v>43466</v>
      </c>
      <c r="C54" s="36">
        <v>244</v>
      </c>
      <c r="D54" s="36">
        <v>365</v>
      </c>
      <c r="E54" s="36">
        <v>365</v>
      </c>
      <c r="F54" s="35"/>
      <c r="G54" s="36">
        <v>330</v>
      </c>
      <c r="H54" s="36">
        <v>341</v>
      </c>
      <c r="I54" s="36">
        <v>244</v>
      </c>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2:36" x14ac:dyDescent="0.3">
      <c r="B55" s="42">
        <v>43497</v>
      </c>
      <c r="C55" s="38">
        <v>244</v>
      </c>
      <c r="D55" s="38">
        <v>365</v>
      </c>
      <c r="E55" s="38">
        <v>365</v>
      </c>
      <c r="F55" s="35"/>
      <c r="G55" s="38">
        <v>330</v>
      </c>
      <c r="H55" s="38">
        <v>341</v>
      </c>
      <c r="I55" s="38">
        <v>244</v>
      </c>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2:36" x14ac:dyDescent="0.3">
      <c r="B56" s="41">
        <v>43525</v>
      </c>
      <c r="C56" s="36">
        <v>244</v>
      </c>
      <c r="D56" s="36">
        <v>365</v>
      </c>
      <c r="E56" s="36">
        <v>365</v>
      </c>
      <c r="F56" s="35"/>
      <c r="G56" s="36">
        <v>330</v>
      </c>
      <c r="H56" s="36">
        <v>341</v>
      </c>
      <c r="I56" s="36">
        <v>244</v>
      </c>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2:36" x14ac:dyDescent="0.3">
      <c r="B57" s="42">
        <v>43556</v>
      </c>
      <c r="C57" s="38">
        <v>244</v>
      </c>
      <c r="D57" s="38">
        <v>365</v>
      </c>
      <c r="E57" s="38">
        <v>365</v>
      </c>
      <c r="F57" s="35"/>
      <c r="G57" s="38">
        <v>330</v>
      </c>
      <c r="H57" s="38">
        <v>341</v>
      </c>
      <c r="I57" s="38">
        <v>244</v>
      </c>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2:36" x14ac:dyDescent="0.3">
      <c r="B58" s="41">
        <v>43586</v>
      </c>
      <c r="C58" s="36">
        <v>244</v>
      </c>
      <c r="D58" s="36">
        <v>365</v>
      </c>
      <c r="E58" s="36">
        <v>365</v>
      </c>
      <c r="F58" s="35"/>
      <c r="G58" s="36">
        <v>330</v>
      </c>
      <c r="H58" s="36">
        <v>341</v>
      </c>
      <c r="I58" s="36">
        <v>244</v>
      </c>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2:36" x14ac:dyDescent="0.3">
      <c r="B59" s="42">
        <v>43617</v>
      </c>
      <c r="C59" s="38">
        <v>244</v>
      </c>
      <c r="D59" s="38">
        <v>365</v>
      </c>
      <c r="E59" s="38">
        <v>365</v>
      </c>
      <c r="F59" s="35"/>
      <c r="G59" s="38">
        <v>330</v>
      </c>
      <c r="H59" s="38">
        <v>341</v>
      </c>
      <c r="I59" s="38">
        <v>244</v>
      </c>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2:36" x14ac:dyDescent="0.3">
      <c r="B60" s="41">
        <v>43647</v>
      </c>
      <c r="C60" s="36">
        <v>244</v>
      </c>
      <c r="D60" s="36">
        <v>365</v>
      </c>
      <c r="E60" s="36">
        <v>365</v>
      </c>
      <c r="F60" s="35"/>
      <c r="G60" s="36">
        <v>330</v>
      </c>
      <c r="H60" s="36">
        <v>341</v>
      </c>
      <c r="I60" s="36">
        <v>244</v>
      </c>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2:36" x14ac:dyDescent="0.3">
      <c r="B61" s="42">
        <v>43678</v>
      </c>
      <c r="C61" s="38">
        <v>244</v>
      </c>
      <c r="D61" s="38">
        <v>365</v>
      </c>
      <c r="E61" s="38">
        <v>365</v>
      </c>
      <c r="F61" s="35"/>
      <c r="G61" s="38">
        <v>330</v>
      </c>
      <c r="H61" s="38">
        <v>341</v>
      </c>
      <c r="I61" s="38">
        <v>244</v>
      </c>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2:36" x14ac:dyDescent="0.3">
      <c r="B62" s="41">
        <v>43709</v>
      </c>
      <c r="C62" s="36">
        <v>244</v>
      </c>
      <c r="D62" s="36">
        <v>365</v>
      </c>
      <c r="E62" s="36">
        <v>365</v>
      </c>
      <c r="F62" s="35"/>
      <c r="G62" s="36">
        <v>330</v>
      </c>
      <c r="H62" s="36">
        <v>341</v>
      </c>
      <c r="I62" s="36">
        <v>244</v>
      </c>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36" x14ac:dyDescent="0.3">
      <c r="B63" s="42">
        <v>43739</v>
      </c>
      <c r="C63" s="38">
        <v>244</v>
      </c>
      <c r="D63" s="38">
        <v>365</v>
      </c>
      <c r="E63" s="38">
        <v>365</v>
      </c>
      <c r="F63" s="35"/>
      <c r="G63" s="38">
        <v>330</v>
      </c>
      <c r="H63" s="38">
        <v>341</v>
      </c>
      <c r="I63" s="38">
        <v>244</v>
      </c>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2:36" x14ac:dyDescent="0.3">
      <c r="B64" s="41">
        <v>43770</v>
      </c>
      <c r="C64" s="36">
        <v>244</v>
      </c>
      <c r="D64" s="36">
        <v>365</v>
      </c>
      <c r="E64" s="36">
        <v>365</v>
      </c>
      <c r="F64" s="35"/>
      <c r="G64" s="36">
        <v>330</v>
      </c>
      <c r="H64" s="36">
        <v>341</v>
      </c>
      <c r="I64" s="36">
        <v>244</v>
      </c>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row r="65" spans="2:36" x14ac:dyDescent="0.3">
      <c r="B65" s="42">
        <v>43800</v>
      </c>
      <c r="C65" s="38">
        <v>244</v>
      </c>
      <c r="D65" s="38">
        <v>365</v>
      </c>
      <c r="E65" s="38">
        <v>365</v>
      </c>
      <c r="F65" s="35"/>
      <c r="G65" s="38">
        <v>330</v>
      </c>
      <c r="H65" s="38">
        <v>341</v>
      </c>
      <c r="I65" s="38">
        <v>244</v>
      </c>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row>
    <row r="66" spans="2:36" x14ac:dyDescent="0.3">
      <c r="B66" s="41">
        <v>43831</v>
      </c>
      <c r="C66" s="36">
        <v>244</v>
      </c>
      <c r="D66" s="36">
        <v>365</v>
      </c>
      <c r="E66" s="36">
        <v>365</v>
      </c>
      <c r="F66" s="35"/>
      <c r="G66" s="36">
        <v>330</v>
      </c>
      <c r="H66" s="36">
        <v>341</v>
      </c>
      <c r="I66" s="36">
        <v>244</v>
      </c>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row>
    <row r="67" spans="2:36" x14ac:dyDescent="0.3">
      <c r="B67" s="42">
        <v>43862</v>
      </c>
      <c r="C67" s="38">
        <v>244</v>
      </c>
      <c r="D67" s="38">
        <v>365</v>
      </c>
      <c r="E67" s="38">
        <v>365</v>
      </c>
      <c r="F67" s="35"/>
      <c r="G67" s="38">
        <v>330</v>
      </c>
      <c r="H67" s="38">
        <v>341</v>
      </c>
      <c r="I67" s="38">
        <v>244</v>
      </c>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row>
    <row r="68" spans="2:36" x14ac:dyDescent="0.3">
      <c r="B68" s="41">
        <v>43891</v>
      </c>
      <c r="C68" s="36">
        <v>244</v>
      </c>
      <c r="D68" s="36">
        <v>365</v>
      </c>
      <c r="E68" s="36">
        <v>365</v>
      </c>
      <c r="F68" s="35"/>
      <c r="G68" s="36">
        <v>330</v>
      </c>
      <c r="H68" s="36">
        <v>341</v>
      </c>
      <c r="I68" s="36">
        <v>244</v>
      </c>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2:36" x14ac:dyDescent="0.3">
      <c r="B69" s="42">
        <v>43922</v>
      </c>
      <c r="C69" s="38">
        <v>244</v>
      </c>
      <c r="D69" s="38">
        <v>365</v>
      </c>
      <c r="E69" s="38">
        <v>365</v>
      </c>
      <c r="F69" s="35"/>
      <c r="G69" s="38">
        <v>330</v>
      </c>
      <c r="H69" s="38">
        <v>341</v>
      </c>
      <c r="I69" s="38">
        <v>244</v>
      </c>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row>
    <row r="70" spans="2:36" x14ac:dyDescent="0.3">
      <c r="B70" s="41">
        <v>43952</v>
      </c>
      <c r="C70" s="36">
        <v>244</v>
      </c>
      <c r="D70" s="36">
        <v>365</v>
      </c>
      <c r="E70" s="36">
        <v>365</v>
      </c>
      <c r="F70" s="35"/>
      <c r="G70" s="36">
        <v>330</v>
      </c>
      <c r="H70" s="36">
        <v>341</v>
      </c>
      <c r="I70" s="36">
        <v>244</v>
      </c>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row>
    <row r="71" spans="2:36" x14ac:dyDescent="0.3">
      <c r="B71" s="42">
        <v>43983</v>
      </c>
      <c r="C71" s="38">
        <v>244</v>
      </c>
      <c r="D71" s="38">
        <v>365</v>
      </c>
      <c r="E71" s="38">
        <v>365</v>
      </c>
      <c r="F71" s="35"/>
      <c r="G71" s="38">
        <v>330</v>
      </c>
      <c r="H71" s="38">
        <v>341</v>
      </c>
      <c r="I71" s="38">
        <v>244</v>
      </c>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row>
    <row r="72" spans="2:36" x14ac:dyDescent="0.3">
      <c r="B72" s="41">
        <v>44013</v>
      </c>
      <c r="C72" s="36">
        <v>244</v>
      </c>
      <c r="D72" s="36">
        <v>365</v>
      </c>
      <c r="E72" s="36">
        <v>365</v>
      </c>
      <c r="F72" s="35"/>
      <c r="G72" s="36">
        <v>330</v>
      </c>
      <c r="H72" s="36">
        <v>341</v>
      </c>
      <c r="I72" s="36">
        <v>244</v>
      </c>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row>
    <row r="73" spans="2:36" x14ac:dyDescent="0.3">
      <c r="B73" s="42">
        <v>44044</v>
      </c>
      <c r="C73" s="38">
        <v>244</v>
      </c>
      <c r="D73" s="38">
        <v>365</v>
      </c>
      <c r="E73" s="38">
        <v>365</v>
      </c>
      <c r="F73" s="35"/>
      <c r="G73" s="38">
        <v>330</v>
      </c>
      <c r="H73" s="38">
        <v>341</v>
      </c>
      <c r="I73" s="38">
        <v>244</v>
      </c>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row>
    <row r="74" spans="2:36" x14ac:dyDescent="0.3">
      <c r="B74" s="41">
        <v>44075</v>
      </c>
      <c r="C74" s="36">
        <v>244</v>
      </c>
      <c r="D74" s="36">
        <v>365</v>
      </c>
      <c r="E74" s="36">
        <v>365</v>
      </c>
      <c r="F74" s="35"/>
      <c r="G74" s="36">
        <v>330</v>
      </c>
      <c r="H74" s="36">
        <v>341</v>
      </c>
      <c r="I74" s="36">
        <v>244</v>
      </c>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row>
    <row r="75" spans="2:36" x14ac:dyDescent="0.3">
      <c r="B75" s="42">
        <v>44105</v>
      </c>
      <c r="C75" s="38">
        <v>244</v>
      </c>
      <c r="D75" s="38">
        <v>365</v>
      </c>
      <c r="E75" s="38">
        <v>365</v>
      </c>
      <c r="F75" s="35"/>
      <c r="G75" s="38">
        <v>330</v>
      </c>
      <c r="H75" s="38">
        <v>341</v>
      </c>
      <c r="I75" s="38">
        <v>244</v>
      </c>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row>
    <row r="76" spans="2:36" x14ac:dyDescent="0.3">
      <c r="B76" s="41">
        <v>44136</v>
      </c>
      <c r="C76" s="36">
        <v>244</v>
      </c>
      <c r="D76" s="36">
        <v>365</v>
      </c>
      <c r="E76" s="36">
        <v>365</v>
      </c>
      <c r="F76" s="35"/>
      <c r="G76" s="36">
        <v>330</v>
      </c>
      <c r="H76" s="36">
        <v>341</v>
      </c>
      <c r="I76" s="36">
        <v>244</v>
      </c>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row>
    <row r="77" spans="2:36" x14ac:dyDescent="0.3">
      <c r="B77" s="42">
        <v>44166</v>
      </c>
      <c r="C77" s="38">
        <v>244</v>
      </c>
      <c r="D77" s="38">
        <v>365</v>
      </c>
      <c r="E77" s="38">
        <v>365</v>
      </c>
      <c r="F77" s="35"/>
      <c r="G77" s="38">
        <v>330</v>
      </c>
      <c r="H77" s="38">
        <v>341</v>
      </c>
      <c r="I77" s="38">
        <v>244</v>
      </c>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row>
    <row r="78" spans="2:36" x14ac:dyDescent="0.3">
      <c r="B78" s="41">
        <v>44197</v>
      </c>
      <c r="C78" s="36">
        <v>244</v>
      </c>
      <c r="D78" s="36">
        <v>365</v>
      </c>
      <c r="E78" s="36">
        <v>365</v>
      </c>
      <c r="F78" s="35"/>
      <c r="G78" s="36">
        <v>330</v>
      </c>
      <c r="H78" s="36">
        <v>341</v>
      </c>
      <c r="I78" s="36">
        <v>244</v>
      </c>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row>
    <row r="79" spans="2:36" x14ac:dyDescent="0.3">
      <c r="B79" s="42">
        <v>44228</v>
      </c>
      <c r="C79" s="38">
        <v>244</v>
      </c>
      <c r="D79" s="38">
        <v>365</v>
      </c>
      <c r="E79" s="38">
        <v>365</v>
      </c>
      <c r="F79" s="35"/>
      <c r="G79" s="38">
        <v>330</v>
      </c>
      <c r="H79" s="38">
        <v>341</v>
      </c>
      <c r="I79" s="38">
        <v>244</v>
      </c>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row>
    <row r="80" spans="2:36" x14ac:dyDescent="0.3">
      <c r="B80" s="41">
        <v>44256</v>
      </c>
      <c r="C80" s="36">
        <v>244</v>
      </c>
      <c r="D80" s="36">
        <v>365</v>
      </c>
      <c r="E80" s="36">
        <v>365</v>
      </c>
      <c r="F80" s="35"/>
      <c r="G80" s="36">
        <v>330</v>
      </c>
      <c r="H80" s="36">
        <v>341</v>
      </c>
      <c r="I80" s="36">
        <v>244</v>
      </c>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row>
    <row r="81" spans="2:36" x14ac:dyDescent="0.3">
      <c r="B81" s="42">
        <v>44287</v>
      </c>
      <c r="C81" s="38">
        <v>244</v>
      </c>
      <c r="D81" s="38">
        <v>365</v>
      </c>
      <c r="E81" s="38">
        <v>365</v>
      </c>
      <c r="F81" s="35"/>
      <c r="G81" s="38">
        <v>330</v>
      </c>
      <c r="H81" s="38">
        <v>341</v>
      </c>
      <c r="I81" s="38">
        <v>244</v>
      </c>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row>
    <row r="82" spans="2:36" x14ac:dyDescent="0.3">
      <c r="B82" s="41">
        <v>44317</v>
      </c>
      <c r="C82" s="36">
        <v>244</v>
      </c>
      <c r="D82" s="36">
        <v>365</v>
      </c>
      <c r="E82" s="36">
        <v>365</v>
      </c>
      <c r="F82" s="35"/>
      <c r="G82" s="36">
        <v>330</v>
      </c>
      <c r="H82" s="36">
        <v>341</v>
      </c>
      <c r="I82" s="36">
        <v>244</v>
      </c>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row r="83" spans="2:36" x14ac:dyDescent="0.3">
      <c r="B83" s="42">
        <v>44348</v>
      </c>
      <c r="C83" s="38">
        <v>244</v>
      </c>
      <c r="D83" s="38">
        <v>365</v>
      </c>
      <c r="E83" s="38">
        <v>365</v>
      </c>
      <c r="F83" s="35"/>
      <c r="G83" s="38">
        <v>330</v>
      </c>
      <c r="H83" s="38">
        <v>341</v>
      </c>
      <c r="I83" s="38">
        <v>244</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x14ac:dyDescent="0.3">
      <c r="B84" s="41">
        <v>44378</v>
      </c>
      <c r="C84" s="36">
        <v>244</v>
      </c>
      <c r="D84" s="36">
        <v>365</v>
      </c>
      <c r="E84" s="36">
        <v>365</v>
      </c>
      <c r="F84" s="35"/>
      <c r="G84" s="36">
        <v>330</v>
      </c>
      <c r="H84" s="36">
        <v>341</v>
      </c>
      <c r="I84" s="36">
        <v>244</v>
      </c>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row>
    <row r="85" spans="2:36" x14ac:dyDescent="0.3">
      <c r="B85" s="42">
        <v>44409</v>
      </c>
      <c r="C85" s="38">
        <v>244</v>
      </c>
      <c r="D85" s="38">
        <v>365</v>
      </c>
      <c r="E85" s="38">
        <v>365</v>
      </c>
      <c r="F85" s="35"/>
      <c r="G85" s="38">
        <v>330</v>
      </c>
      <c r="H85" s="38">
        <v>341</v>
      </c>
      <c r="I85" s="38">
        <v>244</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x14ac:dyDescent="0.3">
      <c r="B86" s="41">
        <v>44440</v>
      </c>
      <c r="C86" s="36">
        <v>244</v>
      </c>
      <c r="D86" s="36">
        <v>365</v>
      </c>
      <c r="E86" s="36">
        <v>365</v>
      </c>
      <c r="F86" s="35"/>
      <c r="G86" s="36">
        <v>330</v>
      </c>
      <c r="H86" s="36">
        <v>341</v>
      </c>
      <c r="I86" s="36">
        <v>244</v>
      </c>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x14ac:dyDescent="0.3">
      <c r="B87" s="42">
        <v>44470</v>
      </c>
      <c r="C87" s="38">
        <v>244</v>
      </c>
      <c r="D87" s="38">
        <v>365</v>
      </c>
      <c r="E87" s="38">
        <v>365</v>
      </c>
      <c r="F87" s="35"/>
      <c r="G87" s="38">
        <v>330</v>
      </c>
      <c r="H87" s="38">
        <v>341</v>
      </c>
      <c r="I87" s="38">
        <v>244</v>
      </c>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row>
    <row r="88" spans="2:36" x14ac:dyDescent="0.3">
      <c r="B88" s="41">
        <v>44501</v>
      </c>
      <c r="C88" s="36">
        <v>244</v>
      </c>
      <c r="D88" s="36">
        <v>365</v>
      </c>
      <c r="E88" s="36">
        <v>365</v>
      </c>
      <c r="F88" s="35"/>
      <c r="G88" s="36">
        <v>330</v>
      </c>
      <c r="H88" s="36">
        <v>341</v>
      </c>
      <c r="I88" s="36">
        <v>244</v>
      </c>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row>
    <row r="89" spans="2:36" x14ac:dyDescent="0.3">
      <c r="B89" s="42">
        <v>44531</v>
      </c>
      <c r="C89" s="38">
        <v>267</v>
      </c>
      <c r="D89" s="38">
        <v>401</v>
      </c>
      <c r="E89" s="38">
        <v>401</v>
      </c>
      <c r="F89" s="35"/>
      <c r="G89" s="38">
        <v>357</v>
      </c>
      <c r="H89" s="38">
        <v>374</v>
      </c>
      <c r="I89" s="38">
        <v>267</v>
      </c>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row>
    <row r="90" spans="2:36" x14ac:dyDescent="0.3">
      <c r="B90" s="41">
        <v>44562</v>
      </c>
      <c r="C90" s="36">
        <v>267</v>
      </c>
      <c r="D90" s="36">
        <v>401</v>
      </c>
      <c r="E90" s="36">
        <v>401</v>
      </c>
      <c r="F90" s="35"/>
      <c r="G90" s="36">
        <v>357</v>
      </c>
      <c r="H90" s="36">
        <v>374</v>
      </c>
      <c r="I90" s="36">
        <v>267</v>
      </c>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row>
    <row r="91" spans="2:36" x14ac:dyDescent="0.3">
      <c r="B91" s="42">
        <v>44593</v>
      </c>
      <c r="C91" s="38">
        <v>267</v>
      </c>
      <c r="D91" s="38">
        <v>401</v>
      </c>
      <c r="E91" s="38">
        <v>401</v>
      </c>
      <c r="F91" s="35"/>
      <c r="G91" s="38">
        <v>357</v>
      </c>
      <c r="H91" s="38">
        <v>374</v>
      </c>
      <c r="I91" s="38">
        <v>267</v>
      </c>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row>
    <row r="92" spans="2:36" x14ac:dyDescent="0.3">
      <c r="B92" s="41">
        <v>44621</v>
      </c>
      <c r="C92" s="36">
        <v>267</v>
      </c>
      <c r="D92" s="36">
        <v>401</v>
      </c>
      <c r="E92" s="36">
        <v>401</v>
      </c>
      <c r="F92" s="35"/>
      <c r="G92" s="36">
        <v>357</v>
      </c>
      <c r="H92" s="36">
        <v>374</v>
      </c>
      <c r="I92" s="36">
        <v>267</v>
      </c>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row>
    <row r="93" spans="2:36" x14ac:dyDescent="0.3">
      <c r="B93" s="42">
        <v>44652</v>
      </c>
      <c r="C93" s="38">
        <v>304</v>
      </c>
      <c r="D93" s="38">
        <v>511</v>
      </c>
      <c r="E93" s="38">
        <v>511</v>
      </c>
      <c r="F93" s="35"/>
      <c r="G93" s="38">
        <v>401</v>
      </c>
      <c r="H93" s="38">
        <v>502</v>
      </c>
      <c r="I93" s="38">
        <v>304</v>
      </c>
      <c r="J93" s="8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row>
    <row r="94" spans="2:36" x14ac:dyDescent="0.3">
      <c r="B94" s="41">
        <v>44682</v>
      </c>
      <c r="C94" s="36">
        <v>304</v>
      </c>
      <c r="D94" s="36">
        <v>511</v>
      </c>
      <c r="E94" s="36">
        <v>511</v>
      </c>
      <c r="F94" s="35"/>
      <c r="G94" s="36">
        <v>401</v>
      </c>
      <c r="H94" s="36">
        <v>502</v>
      </c>
      <c r="I94" s="36">
        <v>304</v>
      </c>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row>
    <row r="95" spans="2:36" x14ac:dyDescent="0.3">
      <c r="B95" s="42">
        <v>44713</v>
      </c>
      <c r="C95" s="38">
        <v>304</v>
      </c>
      <c r="D95" s="38">
        <v>511</v>
      </c>
      <c r="E95" s="38">
        <v>511</v>
      </c>
      <c r="F95" s="35"/>
      <c r="G95" s="38">
        <v>401</v>
      </c>
      <c r="H95" s="38">
        <v>502</v>
      </c>
      <c r="I95" s="38">
        <v>304</v>
      </c>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row>
    <row r="96" spans="2:36" x14ac:dyDescent="0.3">
      <c r="B96" s="41">
        <v>44743</v>
      </c>
      <c r="C96" s="36">
        <v>315</v>
      </c>
      <c r="D96" s="36">
        <v>541</v>
      </c>
      <c r="E96" s="36">
        <v>541</v>
      </c>
      <c r="F96" s="35"/>
      <c r="G96" s="36">
        <v>414</v>
      </c>
      <c r="H96" s="36">
        <v>531</v>
      </c>
      <c r="I96" s="36">
        <v>315</v>
      </c>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row>
    <row r="97" spans="2:36" x14ac:dyDescent="0.3">
      <c r="B97" s="42">
        <v>44774</v>
      </c>
      <c r="C97" s="38">
        <v>315</v>
      </c>
      <c r="D97" s="38">
        <v>541</v>
      </c>
      <c r="E97" s="38">
        <v>541</v>
      </c>
      <c r="F97" s="35"/>
      <c r="G97" s="38">
        <v>414</v>
      </c>
      <c r="H97" s="38">
        <v>531</v>
      </c>
      <c r="I97" s="38">
        <v>315</v>
      </c>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row>
    <row r="98" spans="2:36" x14ac:dyDescent="0.3">
      <c r="B98" s="41">
        <v>44805</v>
      </c>
      <c r="C98" s="36">
        <v>315</v>
      </c>
      <c r="D98" s="36">
        <v>541</v>
      </c>
      <c r="E98" s="36">
        <v>541</v>
      </c>
      <c r="F98" s="35"/>
      <c r="G98" s="36">
        <v>414</v>
      </c>
      <c r="H98" s="36">
        <v>531</v>
      </c>
      <c r="I98" s="36">
        <v>315</v>
      </c>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row>
    <row r="99" spans="2:36" x14ac:dyDescent="0.3">
      <c r="B99" s="42">
        <v>44835</v>
      </c>
      <c r="C99" s="38">
        <v>316</v>
      </c>
      <c r="D99" s="38">
        <v>532</v>
      </c>
      <c r="E99" s="38">
        <v>532</v>
      </c>
      <c r="F99" s="35"/>
      <c r="G99" s="38">
        <v>418</v>
      </c>
      <c r="H99" s="38">
        <v>513</v>
      </c>
      <c r="I99" s="38">
        <v>316</v>
      </c>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row>
    <row r="100" spans="2:36" x14ac:dyDescent="0.3">
      <c r="B100" s="41">
        <v>44866</v>
      </c>
      <c r="C100" s="36">
        <v>316</v>
      </c>
      <c r="D100" s="36">
        <v>532</v>
      </c>
      <c r="E100" s="36">
        <v>532</v>
      </c>
      <c r="F100" s="35"/>
      <c r="G100" s="36">
        <v>418</v>
      </c>
      <c r="H100" s="36">
        <v>513</v>
      </c>
      <c r="I100" s="36">
        <v>316</v>
      </c>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row>
    <row r="101" spans="2:36" x14ac:dyDescent="0.3">
      <c r="B101" s="42">
        <v>44896</v>
      </c>
      <c r="C101" s="38">
        <v>316</v>
      </c>
      <c r="D101" s="38">
        <v>532</v>
      </c>
      <c r="E101" s="38">
        <v>532</v>
      </c>
      <c r="F101" s="35"/>
      <c r="G101" s="38">
        <v>418</v>
      </c>
      <c r="H101" s="38">
        <v>513</v>
      </c>
      <c r="I101" s="38">
        <v>316</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row>
    <row r="102" spans="2:36" x14ac:dyDescent="0.3">
      <c r="B102" s="41">
        <v>44927</v>
      </c>
      <c r="C102" s="36">
        <v>330</v>
      </c>
      <c r="D102" s="36">
        <v>570</v>
      </c>
      <c r="E102" s="36">
        <v>570</v>
      </c>
      <c r="F102" s="35"/>
      <c r="G102" s="36">
        <v>435</v>
      </c>
      <c r="H102" s="36">
        <v>545</v>
      </c>
      <c r="I102" s="36">
        <v>330</v>
      </c>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row>
    <row r="103" spans="2:36" x14ac:dyDescent="0.3">
      <c r="B103" s="42">
        <v>44958</v>
      </c>
      <c r="C103" s="38">
        <v>330</v>
      </c>
      <c r="D103" s="38">
        <v>570</v>
      </c>
      <c r="E103" s="38">
        <v>570</v>
      </c>
      <c r="F103" s="35"/>
      <c r="G103" s="38">
        <v>435</v>
      </c>
      <c r="H103" s="38">
        <v>545</v>
      </c>
      <c r="I103" s="38">
        <v>330</v>
      </c>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row>
    <row r="104" spans="2:36" x14ac:dyDescent="0.3">
      <c r="B104" s="41">
        <v>44986</v>
      </c>
      <c r="C104" s="36">
        <v>330</v>
      </c>
      <c r="D104" s="36">
        <v>570</v>
      </c>
      <c r="E104" s="36">
        <v>570</v>
      </c>
      <c r="F104" s="35"/>
      <c r="G104" s="36">
        <v>435</v>
      </c>
      <c r="H104" s="36">
        <v>545</v>
      </c>
      <c r="I104" s="36">
        <v>330</v>
      </c>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row>
    <row r="105" spans="2:36" x14ac:dyDescent="0.3">
      <c r="B105" s="42">
        <v>45017</v>
      </c>
      <c r="C105" s="38">
        <v>333</v>
      </c>
      <c r="D105" s="38">
        <v>574</v>
      </c>
      <c r="E105" s="38">
        <v>574</v>
      </c>
      <c r="F105" s="35"/>
      <c r="G105" s="38">
        <v>440</v>
      </c>
      <c r="H105" s="38">
        <v>557</v>
      </c>
      <c r="I105" s="38">
        <v>333</v>
      </c>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row>
    <row r="106" spans="2:36" x14ac:dyDescent="0.3">
      <c r="B106" s="41">
        <v>45047</v>
      </c>
      <c r="C106" s="36">
        <v>333</v>
      </c>
      <c r="D106" s="36">
        <v>574</v>
      </c>
      <c r="E106" s="36">
        <v>574</v>
      </c>
      <c r="F106" s="35"/>
      <c r="G106" s="36">
        <v>440</v>
      </c>
      <c r="H106" s="36">
        <v>557</v>
      </c>
      <c r="I106" s="36">
        <v>333</v>
      </c>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row>
    <row r="107" spans="2:36" x14ac:dyDescent="0.3">
      <c r="B107" s="42">
        <v>45078</v>
      </c>
      <c r="C107" s="38">
        <v>333</v>
      </c>
      <c r="D107" s="38">
        <v>574</v>
      </c>
      <c r="E107" s="38">
        <v>574</v>
      </c>
      <c r="F107" s="35"/>
      <c r="G107" s="38">
        <v>440</v>
      </c>
      <c r="H107" s="38">
        <v>557</v>
      </c>
      <c r="I107" s="38">
        <v>333</v>
      </c>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row>
    <row r="108" spans="2:36" x14ac:dyDescent="0.3">
      <c r="B108" s="41">
        <v>45108</v>
      </c>
      <c r="C108" s="36">
        <v>348</v>
      </c>
      <c r="D108" s="36">
        <v>612</v>
      </c>
      <c r="E108" s="36">
        <v>612</v>
      </c>
      <c r="F108" s="35"/>
      <c r="G108" s="36">
        <v>458</v>
      </c>
      <c r="H108" s="36">
        <v>597</v>
      </c>
      <c r="I108" s="36">
        <v>348</v>
      </c>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row>
    <row r="109" spans="2:36" x14ac:dyDescent="0.3">
      <c r="B109" s="42">
        <v>45139</v>
      </c>
      <c r="C109" s="38">
        <v>348</v>
      </c>
      <c r="D109" s="38">
        <v>612</v>
      </c>
      <c r="E109" s="38">
        <v>612</v>
      </c>
      <c r="F109" s="35"/>
      <c r="G109" s="38">
        <v>458</v>
      </c>
      <c r="H109" s="38">
        <v>597</v>
      </c>
      <c r="I109" s="38">
        <v>348</v>
      </c>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row>
    <row r="110" spans="2:36" x14ac:dyDescent="0.3">
      <c r="B110" s="41">
        <v>45170</v>
      </c>
      <c r="C110" s="36">
        <v>348</v>
      </c>
      <c r="D110" s="36">
        <v>612</v>
      </c>
      <c r="E110" s="36">
        <v>612</v>
      </c>
      <c r="F110" s="35"/>
      <c r="G110" s="36">
        <v>458</v>
      </c>
      <c r="H110" s="36">
        <v>597</v>
      </c>
      <c r="I110" s="36">
        <v>348</v>
      </c>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row>
    <row r="111" spans="2:36" x14ac:dyDescent="0.3">
      <c r="B111" s="42">
        <v>45200</v>
      </c>
      <c r="C111" s="38">
        <v>344</v>
      </c>
      <c r="D111" s="38">
        <v>580</v>
      </c>
      <c r="E111" s="38">
        <v>580</v>
      </c>
      <c r="F111" s="35"/>
      <c r="G111" s="38">
        <v>454</v>
      </c>
      <c r="H111" s="38">
        <v>560</v>
      </c>
      <c r="I111" s="38">
        <v>344</v>
      </c>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2:36" x14ac:dyDescent="0.3">
      <c r="B112" s="41">
        <v>45231</v>
      </c>
      <c r="C112" s="36">
        <v>344</v>
      </c>
      <c r="D112" s="36">
        <v>580</v>
      </c>
      <c r="E112" s="36">
        <v>580</v>
      </c>
      <c r="F112" s="35"/>
      <c r="G112" s="36">
        <v>454</v>
      </c>
      <c r="H112" s="36">
        <v>560</v>
      </c>
      <c r="I112" s="36">
        <v>344</v>
      </c>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row>
    <row r="113" spans="2:36" x14ac:dyDescent="0.3">
      <c r="B113" s="42">
        <v>45261</v>
      </c>
      <c r="C113" s="38">
        <v>344</v>
      </c>
      <c r="D113" s="38">
        <v>580</v>
      </c>
      <c r="E113" s="38">
        <v>580</v>
      </c>
      <c r="F113" s="35"/>
      <c r="G113" s="38">
        <v>454</v>
      </c>
      <c r="H113" s="38">
        <v>560</v>
      </c>
      <c r="I113" s="38">
        <v>344</v>
      </c>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row>
    <row r="114" spans="2:36" x14ac:dyDescent="0.3">
      <c r="B114" s="41">
        <v>45292</v>
      </c>
      <c r="C114" s="36">
        <v>342</v>
      </c>
      <c r="D114" s="36">
        <v>578</v>
      </c>
      <c r="E114" s="36">
        <v>578</v>
      </c>
      <c r="F114" s="35"/>
      <c r="G114" s="36">
        <v>453</v>
      </c>
      <c r="H114" s="36">
        <v>559</v>
      </c>
      <c r="I114" s="36">
        <v>342</v>
      </c>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row>
    <row r="115" spans="2:36" x14ac:dyDescent="0.3">
      <c r="B115" s="42">
        <v>45323</v>
      </c>
      <c r="C115" s="38">
        <v>342</v>
      </c>
      <c r="D115" s="38">
        <v>578</v>
      </c>
      <c r="E115" s="38">
        <v>578</v>
      </c>
      <c r="F115" s="35"/>
      <c r="G115" s="38">
        <v>453</v>
      </c>
      <c r="H115" s="38">
        <v>559</v>
      </c>
      <c r="I115" s="38">
        <v>342</v>
      </c>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row>
    <row r="116" spans="2:36" x14ac:dyDescent="0.3">
      <c r="B116" s="41">
        <v>45352</v>
      </c>
      <c r="C116" s="36">
        <v>342</v>
      </c>
      <c r="D116" s="36">
        <v>578</v>
      </c>
      <c r="E116" s="36">
        <v>578</v>
      </c>
      <c r="F116" s="35"/>
      <c r="G116" s="36">
        <v>453</v>
      </c>
      <c r="H116" s="36">
        <v>559</v>
      </c>
      <c r="I116" s="36">
        <v>342</v>
      </c>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row>
    <row r="117" spans="2:36" x14ac:dyDescent="0.3">
      <c r="B117" s="42">
        <v>45383</v>
      </c>
      <c r="C117" s="38">
        <v>352</v>
      </c>
      <c r="D117" s="38">
        <v>608</v>
      </c>
      <c r="E117" s="38">
        <v>608</v>
      </c>
      <c r="G117" s="38">
        <v>464</v>
      </c>
      <c r="H117" s="38">
        <v>592</v>
      </c>
      <c r="I117" s="38">
        <v>352</v>
      </c>
    </row>
    <row r="118" spans="2:36" x14ac:dyDescent="0.3">
      <c r="B118" s="41">
        <v>45413</v>
      </c>
      <c r="C118" s="36">
        <v>352</v>
      </c>
      <c r="D118" s="36">
        <v>608</v>
      </c>
      <c r="E118" s="36">
        <v>608</v>
      </c>
      <c r="F118" s="35"/>
      <c r="G118" s="36">
        <v>464</v>
      </c>
      <c r="H118" s="36">
        <v>592</v>
      </c>
      <c r="I118" s="36">
        <v>352</v>
      </c>
    </row>
    <row r="119" spans="2:36" x14ac:dyDescent="0.3">
      <c r="B119" s="42">
        <v>45444</v>
      </c>
      <c r="C119" s="38">
        <v>352</v>
      </c>
      <c r="D119" s="38">
        <v>608</v>
      </c>
      <c r="E119" s="38">
        <v>608</v>
      </c>
      <c r="F119" s="35"/>
      <c r="G119" s="38">
        <v>464</v>
      </c>
      <c r="H119" s="38">
        <v>592</v>
      </c>
      <c r="I119" s="38">
        <v>352</v>
      </c>
    </row>
    <row r="120" spans="2:36" x14ac:dyDescent="0.3">
      <c r="B120" s="41">
        <v>45474</v>
      </c>
      <c r="C120" s="36">
        <v>342</v>
      </c>
      <c r="D120" s="36">
        <v>574</v>
      </c>
      <c r="E120" s="36">
        <v>574</v>
      </c>
      <c r="F120" s="35"/>
      <c r="G120" s="36">
        <v>453</v>
      </c>
      <c r="H120" s="36">
        <v>547</v>
      </c>
      <c r="I120" s="36">
        <v>342</v>
      </c>
    </row>
    <row r="121" spans="2:36" x14ac:dyDescent="0.3">
      <c r="B121" s="42">
        <v>45505</v>
      </c>
      <c r="C121" s="38">
        <v>342</v>
      </c>
      <c r="D121" s="38">
        <v>574</v>
      </c>
      <c r="E121" s="38">
        <v>574</v>
      </c>
      <c r="F121" s="35"/>
      <c r="G121" s="38">
        <v>453</v>
      </c>
      <c r="H121" s="38">
        <v>547</v>
      </c>
      <c r="I121" s="38">
        <v>342</v>
      </c>
    </row>
    <row r="122" spans="2:36" x14ac:dyDescent="0.3">
      <c r="B122" s="41">
        <v>45536</v>
      </c>
      <c r="C122" s="36">
        <v>335</v>
      </c>
      <c r="D122" s="36">
        <v>420</v>
      </c>
      <c r="E122" s="36">
        <v>420</v>
      </c>
      <c r="G122" s="36">
        <v>425</v>
      </c>
      <c r="H122" s="36">
        <v>455</v>
      </c>
      <c r="I122" s="36">
        <v>335</v>
      </c>
    </row>
    <row r="123" spans="2:36" x14ac:dyDescent="0.3">
      <c r="B123" s="42">
        <v>45566</v>
      </c>
      <c r="C123" s="38">
        <v>335</v>
      </c>
      <c r="D123" s="38">
        <v>420</v>
      </c>
      <c r="E123" s="38">
        <v>420</v>
      </c>
      <c r="F123" s="35"/>
      <c r="G123" s="38">
        <v>425</v>
      </c>
      <c r="H123" s="38">
        <v>455</v>
      </c>
      <c r="I123" s="38">
        <v>335</v>
      </c>
    </row>
    <row r="124" spans="2:36" x14ac:dyDescent="0.3">
      <c r="B124" s="41">
        <v>45597</v>
      </c>
      <c r="C124" s="36">
        <v>335</v>
      </c>
      <c r="D124" s="36">
        <v>420</v>
      </c>
      <c r="E124" s="36">
        <v>420</v>
      </c>
      <c r="G124" s="36">
        <v>425</v>
      </c>
      <c r="H124" s="36">
        <v>455</v>
      </c>
      <c r="I124" s="36">
        <v>335</v>
      </c>
    </row>
    <row r="125" spans="2:36" x14ac:dyDescent="0.3">
      <c r="B125" s="42">
        <v>45627</v>
      </c>
      <c r="C125" s="38">
        <v>335</v>
      </c>
      <c r="D125" s="38">
        <v>420</v>
      </c>
      <c r="E125" s="38">
        <v>420</v>
      </c>
      <c r="F125" s="35"/>
      <c r="G125" s="38">
        <v>425</v>
      </c>
      <c r="H125" s="38">
        <v>455</v>
      </c>
      <c r="I125" s="38">
        <v>335</v>
      </c>
    </row>
    <row r="126" spans="2:36" x14ac:dyDescent="0.3">
      <c r="B126" s="41">
        <v>45658</v>
      </c>
      <c r="C126" s="36">
        <v>335</v>
      </c>
      <c r="D126" s="36">
        <v>420</v>
      </c>
      <c r="E126" s="36">
        <v>420</v>
      </c>
      <c r="G126" s="36">
        <v>425</v>
      </c>
      <c r="H126" s="36">
        <v>455</v>
      </c>
      <c r="I126" s="36">
        <v>335</v>
      </c>
    </row>
    <row r="127" spans="2:36" x14ac:dyDescent="0.3">
      <c r="B127" s="42">
        <v>45689</v>
      </c>
      <c r="C127" s="38">
        <v>335</v>
      </c>
      <c r="D127" s="38">
        <v>420</v>
      </c>
      <c r="E127" s="38">
        <v>420</v>
      </c>
      <c r="F127" s="35"/>
      <c r="G127" s="38">
        <v>425</v>
      </c>
      <c r="H127" s="38">
        <v>455</v>
      </c>
      <c r="I127" s="38">
        <v>335</v>
      </c>
    </row>
    <row r="128" spans="2:36" x14ac:dyDescent="0.3">
      <c r="B128" s="41">
        <v>45717</v>
      </c>
      <c r="C128" s="36">
        <v>335</v>
      </c>
      <c r="D128" s="36">
        <v>420</v>
      </c>
      <c r="E128" s="36">
        <v>420</v>
      </c>
      <c r="G128" s="36">
        <v>425</v>
      </c>
      <c r="H128" s="36">
        <v>455</v>
      </c>
      <c r="I128" s="36">
        <v>335</v>
      </c>
    </row>
    <row r="129" spans="1:36" x14ac:dyDescent="0.3">
      <c r="B129" s="42">
        <v>45748</v>
      </c>
      <c r="C129" s="38">
        <v>335</v>
      </c>
      <c r="D129" s="38">
        <v>420</v>
      </c>
      <c r="E129" s="38">
        <v>420</v>
      </c>
      <c r="F129" s="35"/>
      <c r="G129" s="38">
        <v>425</v>
      </c>
      <c r="H129" s="38">
        <v>455</v>
      </c>
      <c r="I129" s="38">
        <v>335</v>
      </c>
    </row>
    <row r="130" spans="1:36" x14ac:dyDescent="0.3">
      <c r="B130" s="41">
        <v>45778</v>
      </c>
      <c r="C130" s="36">
        <v>335</v>
      </c>
      <c r="D130" s="36">
        <v>420</v>
      </c>
      <c r="E130" s="36">
        <v>420</v>
      </c>
      <c r="G130" s="36">
        <v>425</v>
      </c>
      <c r="H130" s="36">
        <v>455</v>
      </c>
      <c r="I130" s="36">
        <v>335</v>
      </c>
    </row>
    <row r="131" spans="1:36" x14ac:dyDescent="0.3">
      <c r="B131" s="42">
        <v>45809</v>
      </c>
      <c r="C131" s="38">
        <v>335</v>
      </c>
      <c r="D131" s="38">
        <v>420</v>
      </c>
      <c r="E131" s="38">
        <v>420</v>
      </c>
      <c r="F131" s="35"/>
      <c r="G131" s="38">
        <v>425</v>
      </c>
      <c r="H131" s="38">
        <v>455</v>
      </c>
      <c r="I131" s="38">
        <v>335</v>
      </c>
    </row>
    <row r="132" spans="1:36" x14ac:dyDescent="0.3">
      <c r="B132" s="41">
        <v>45839</v>
      </c>
      <c r="C132" s="36">
        <v>335</v>
      </c>
      <c r="D132" s="36">
        <v>420</v>
      </c>
      <c r="E132" s="36">
        <v>420</v>
      </c>
      <c r="G132" s="36">
        <v>425</v>
      </c>
      <c r="H132" s="36">
        <v>455</v>
      </c>
      <c r="I132" s="36">
        <v>335</v>
      </c>
    </row>
    <row r="133" spans="1:36" x14ac:dyDescent="0.3">
      <c r="B133" s="42">
        <v>45870</v>
      </c>
      <c r="C133" s="38">
        <v>335</v>
      </c>
      <c r="D133" s="38">
        <v>420</v>
      </c>
      <c r="E133" s="38">
        <v>420</v>
      </c>
      <c r="F133" s="35"/>
      <c r="G133" s="38">
        <v>425</v>
      </c>
      <c r="H133" s="38">
        <v>455</v>
      </c>
      <c r="I133" s="38">
        <v>335</v>
      </c>
    </row>
    <row r="134" spans="1:36" x14ac:dyDescent="0.3">
      <c r="A134" s="95" t="s">
        <v>53</v>
      </c>
      <c r="B134" s="41">
        <v>45901</v>
      </c>
      <c r="C134" s="36">
        <v>335</v>
      </c>
      <c r="D134" s="36">
        <v>420</v>
      </c>
      <c r="E134" s="36">
        <v>420</v>
      </c>
      <c r="G134" s="36">
        <v>425</v>
      </c>
      <c r="H134" s="36">
        <v>455</v>
      </c>
      <c r="I134" s="36">
        <v>335</v>
      </c>
    </row>
    <row r="135" spans="1:36" x14ac:dyDescent="0.3">
      <c r="B135" s="42">
        <v>45931</v>
      </c>
      <c r="C135" s="38">
        <v>335</v>
      </c>
      <c r="D135" s="38">
        <v>420</v>
      </c>
      <c r="E135" s="38">
        <v>420</v>
      </c>
      <c r="F135" s="35"/>
      <c r="G135" s="38">
        <v>425</v>
      </c>
      <c r="H135" s="38">
        <v>455</v>
      </c>
      <c r="I135" s="38">
        <v>335</v>
      </c>
    </row>
    <row r="136" spans="1:36" x14ac:dyDescent="0.3">
      <c r="B136" s="41">
        <v>45962</v>
      </c>
      <c r="C136" s="36">
        <v>335</v>
      </c>
      <c r="D136" s="36">
        <v>420</v>
      </c>
      <c r="E136" s="36">
        <v>420</v>
      </c>
      <c r="G136" s="36">
        <v>425</v>
      </c>
      <c r="H136" s="36">
        <v>455</v>
      </c>
      <c r="I136" s="36">
        <v>335</v>
      </c>
    </row>
    <row r="137" spans="1:36" x14ac:dyDescent="0.3">
      <c r="B137" s="42">
        <v>45992</v>
      </c>
      <c r="C137" s="38">
        <v>335</v>
      </c>
      <c r="D137" s="38">
        <v>420</v>
      </c>
      <c r="E137" s="38">
        <v>420</v>
      </c>
      <c r="F137" s="35"/>
      <c r="G137" s="38">
        <v>425</v>
      </c>
      <c r="H137" s="38">
        <v>455</v>
      </c>
      <c r="I137" s="38">
        <v>335</v>
      </c>
    </row>
    <row r="138" spans="1:36" x14ac:dyDescent="0.3">
      <c r="B138" s="41">
        <v>46023</v>
      </c>
      <c r="C138" s="36">
        <v>335</v>
      </c>
      <c r="D138" s="36">
        <v>420</v>
      </c>
      <c r="E138" s="36">
        <v>420</v>
      </c>
      <c r="G138" s="36">
        <v>425</v>
      </c>
      <c r="H138" s="36">
        <v>455</v>
      </c>
      <c r="I138" s="36">
        <v>335</v>
      </c>
    </row>
    <row r="139" spans="1:36" x14ac:dyDescent="0.3">
      <c r="B139" s="42">
        <v>46054</v>
      </c>
      <c r="C139" s="38">
        <v>335</v>
      </c>
      <c r="D139" s="38">
        <v>420</v>
      </c>
      <c r="E139" s="38">
        <v>420</v>
      </c>
      <c r="F139" s="35"/>
      <c r="G139" s="38">
        <v>425</v>
      </c>
      <c r="H139" s="38">
        <v>455</v>
      </c>
      <c r="I139" s="38">
        <v>335</v>
      </c>
    </row>
    <row r="141" spans="1:36" x14ac:dyDescent="0.3">
      <c r="A141" s="95" t="s">
        <v>58</v>
      </c>
      <c r="B141" s="16"/>
      <c r="C141" s="24"/>
      <c r="D141" s="24"/>
      <c r="E141" s="24"/>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row>
    <row r="142" spans="1:36" x14ac:dyDescent="0.3">
      <c r="A142" s="95" t="s">
        <v>61</v>
      </c>
      <c r="B142" s="16"/>
      <c r="C142" s="24"/>
      <c r="D142" s="24"/>
      <c r="E142" s="24"/>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row>
    <row r="143" spans="1:36" x14ac:dyDescent="0.3">
      <c r="A143" s="95" t="s">
        <v>62</v>
      </c>
      <c r="B143" s="16"/>
      <c r="C143" s="24"/>
      <c r="D143" s="24"/>
      <c r="E143" s="24"/>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row>
    <row r="144" spans="1:36" x14ac:dyDescent="0.3">
      <c r="B144" s="16"/>
      <c r="C144" s="24"/>
      <c r="D144" s="24"/>
      <c r="E144" s="24"/>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row>
    <row r="145" spans="2:36" x14ac:dyDescent="0.3">
      <c r="B145" s="16"/>
      <c r="C145" s="24"/>
      <c r="D145" s="24"/>
      <c r="E145" s="24"/>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row>
    <row r="146" spans="2:36" x14ac:dyDescent="0.3">
      <c r="B146" s="16"/>
      <c r="C146" s="24"/>
      <c r="D146" s="24"/>
      <c r="E146" s="24"/>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row>
    <row r="147" spans="2:36" x14ac:dyDescent="0.3">
      <c r="B147" s="16"/>
      <c r="C147" s="24"/>
      <c r="D147" s="24"/>
      <c r="E147" s="24"/>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row>
    <row r="148" spans="2:36" x14ac:dyDescent="0.3">
      <c r="B148" s="16"/>
      <c r="C148" s="24"/>
      <c r="D148" s="24"/>
      <c r="E148" s="24"/>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row>
    <row r="149" spans="2:36" x14ac:dyDescent="0.3">
      <c r="B149" s="16"/>
      <c r="C149" s="24"/>
      <c r="D149" s="24"/>
      <c r="E149" s="24"/>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row>
    <row r="150" spans="2:36" x14ac:dyDescent="0.3">
      <c r="B150" s="16"/>
      <c r="C150" s="24"/>
      <c r="D150" s="24"/>
      <c r="E150" s="24"/>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row>
    <row r="151" spans="2:36" x14ac:dyDescent="0.3">
      <c r="B151" s="16"/>
      <c r="C151" s="24"/>
      <c r="D151" s="24"/>
      <c r="E151" s="24"/>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row>
    <row r="152" spans="2:36" x14ac:dyDescent="0.3">
      <c r="B152" s="16"/>
      <c r="C152" s="24"/>
      <c r="D152" s="24"/>
      <c r="E152" s="24"/>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row>
    <row r="153" spans="2:36" x14ac:dyDescent="0.3">
      <c r="B153" s="16"/>
      <c r="C153" s="24"/>
      <c r="D153" s="24"/>
      <c r="E153" s="24"/>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row>
    <row r="154" spans="2:36" x14ac:dyDescent="0.3">
      <c r="B154" s="16"/>
      <c r="C154" s="24"/>
      <c r="D154" s="24"/>
      <c r="E154" s="24"/>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row>
    <row r="155" spans="2:36" x14ac:dyDescent="0.3">
      <c r="B155" s="16"/>
      <c r="C155" s="24"/>
      <c r="D155" s="24"/>
      <c r="E155" s="24"/>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row>
    <row r="156" spans="2:36" x14ac:dyDescent="0.3">
      <c r="B156" s="16"/>
      <c r="C156" s="24"/>
      <c r="D156" s="24"/>
      <c r="E156" s="24"/>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row>
    <row r="157" spans="2:36" x14ac:dyDescent="0.3">
      <c r="B157" s="16"/>
      <c r="C157" s="24"/>
      <c r="D157" s="24"/>
      <c r="E157" s="24"/>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row>
    <row r="158" spans="2:36" x14ac:dyDescent="0.3">
      <c r="B158" s="16"/>
      <c r="C158" s="24"/>
      <c r="D158" s="24"/>
      <c r="E158" s="24"/>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row>
    <row r="159" spans="2:36" x14ac:dyDescent="0.3">
      <c r="B159" s="16"/>
      <c r="C159" s="24"/>
      <c r="D159" s="24"/>
      <c r="E159" s="24"/>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row>
    <row r="160" spans="2:36" x14ac:dyDescent="0.3">
      <c r="B160" s="16"/>
      <c r="C160" s="24"/>
      <c r="D160" s="24"/>
      <c r="E160" s="24"/>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row>
    <row r="161" spans="2:36" x14ac:dyDescent="0.3">
      <c r="B161" s="16"/>
      <c r="C161" s="24"/>
      <c r="D161" s="24"/>
      <c r="E161" s="24"/>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row>
    <row r="162" spans="2:36" x14ac:dyDescent="0.3">
      <c r="B162" s="16"/>
      <c r="C162" s="24"/>
      <c r="D162" s="24"/>
      <c r="E162" s="24"/>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row>
    <row r="163" spans="2:36" x14ac:dyDescent="0.3">
      <c r="B163" s="16"/>
      <c r="C163" s="24"/>
      <c r="D163" s="24"/>
      <c r="E163" s="24"/>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row>
    <row r="164" spans="2:36" x14ac:dyDescent="0.3">
      <c r="B164" s="16"/>
      <c r="C164" s="24"/>
      <c r="D164" s="24"/>
      <c r="E164" s="24"/>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row>
    <row r="165" spans="2:36" x14ac:dyDescent="0.3">
      <c r="B165" s="16"/>
      <c r="C165" s="24"/>
      <c r="D165" s="24"/>
      <c r="E165" s="24"/>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row>
    <row r="166" spans="2:36" x14ac:dyDescent="0.3">
      <c r="B166" s="16"/>
      <c r="C166" s="24"/>
      <c r="D166" s="24"/>
      <c r="E166" s="24"/>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row>
    <row r="167" spans="2:36" x14ac:dyDescent="0.3">
      <c r="B167" s="16"/>
      <c r="C167" s="24"/>
      <c r="D167" s="24"/>
      <c r="E167" s="24"/>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row>
    <row r="168" spans="2:36" x14ac:dyDescent="0.3">
      <c r="B168" s="16"/>
      <c r="C168" s="24"/>
      <c r="D168" s="24"/>
      <c r="E168" s="24"/>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row>
    <row r="169" spans="2:36" x14ac:dyDescent="0.3">
      <c r="B169" s="16"/>
      <c r="C169" s="24"/>
      <c r="D169" s="24"/>
      <c r="E169" s="24"/>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row>
    <row r="170" spans="2:36" x14ac:dyDescent="0.3">
      <c r="B170" s="16"/>
      <c r="C170" s="24"/>
      <c r="D170" s="24"/>
      <c r="E170" s="24"/>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row>
    <row r="171" spans="2:36" x14ac:dyDescent="0.3">
      <c r="B171" s="16"/>
      <c r="C171" s="24"/>
      <c r="D171" s="24"/>
      <c r="E171" s="24"/>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row>
    <row r="172" spans="2:36" x14ac:dyDescent="0.3">
      <c r="B172" s="16"/>
      <c r="C172" s="24"/>
      <c r="D172" s="24"/>
      <c r="E172" s="24"/>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row>
    <row r="173" spans="2:36" x14ac:dyDescent="0.3">
      <c r="B173" s="16"/>
      <c r="C173" s="24"/>
      <c r="D173" s="24"/>
      <c r="E173" s="24"/>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row>
    <row r="174" spans="2:36" x14ac:dyDescent="0.3">
      <c r="B174" s="16"/>
      <c r="C174" s="24"/>
      <c r="D174" s="24"/>
      <c r="E174" s="24"/>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row>
    <row r="175" spans="2:36" x14ac:dyDescent="0.3">
      <c r="B175" s="16"/>
      <c r="C175" s="24"/>
      <c r="D175" s="24"/>
      <c r="E175" s="24"/>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row>
    <row r="176" spans="2:36" x14ac:dyDescent="0.3">
      <c r="B176" s="16"/>
      <c r="C176" s="24"/>
      <c r="D176" s="24"/>
      <c r="E176" s="24"/>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row>
    <row r="177" spans="2:36" x14ac:dyDescent="0.3">
      <c r="B177" s="16"/>
      <c r="C177" s="24"/>
      <c r="D177" s="24"/>
      <c r="E177" s="24"/>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row>
    <row r="178" spans="2:36" x14ac:dyDescent="0.3">
      <c r="B178" s="16"/>
      <c r="C178" s="24"/>
      <c r="D178" s="24"/>
      <c r="E178" s="24"/>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row>
    <row r="179" spans="2:36" x14ac:dyDescent="0.3">
      <c r="B179" s="16"/>
      <c r="C179" s="24"/>
      <c r="D179" s="24"/>
      <c r="E179" s="24"/>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row>
    <row r="180" spans="2:36" x14ac:dyDescent="0.3">
      <c r="B180" s="16"/>
      <c r="C180" s="24"/>
      <c r="D180" s="24"/>
      <c r="E180" s="24"/>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row>
    <row r="181" spans="2:36" x14ac:dyDescent="0.3">
      <c r="B181" s="16"/>
      <c r="C181" s="24"/>
      <c r="D181" s="24"/>
      <c r="E181" s="24"/>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row>
    <row r="182" spans="2:36" x14ac:dyDescent="0.3">
      <c r="B182" s="16"/>
      <c r="C182" s="24"/>
      <c r="D182" s="24"/>
      <c r="E182" s="24"/>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row>
    <row r="183" spans="2:36" x14ac:dyDescent="0.3">
      <c r="B183" s="16"/>
      <c r="C183" s="24"/>
      <c r="D183" s="24"/>
      <c r="E183" s="24"/>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row>
    <row r="184" spans="2:36" x14ac:dyDescent="0.3">
      <c r="B184" s="16"/>
      <c r="C184" s="24"/>
      <c r="D184" s="24"/>
      <c r="E184" s="24"/>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row>
    <row r="185" spans="2:36" x14ac:dyDescent="0.3">
      <c r="B185" s="16"/>
      <c r="C185" s="24"/>
      <c r="D185" s="24"/>
      <c r="E185" s="24"/>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row>
    <row r="186" spans="2:36" x14ac:dyDescent="0.3">
      <c r="B186" s="16"/>
      <c r="C186" s="24"/>
      <c r="D186" s="24"/>
      <c r="E186" s="24"/>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row>
    <row r="187" spans="2:36" x14ac:dyDescent="0.3">
      <c r="B187" s="16"/>
      <c r="C187" s="24"/>
      <c r="D187" s="24"/>
      <c r="E187" s="24"/>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row>
    <row r="188" spans="2:36" x14ac:dyDescent="0.3">
      <c r="B188" s="16"/>
      <c r="C188" s="24"/>
      <c r="D188" s="24"/>
      <c r="E188" s="24"/>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row>
    <row r="189" spans="2:36" x14ac:dyDescent="0.3">
      <c r="B189" s="16"/>
      <c r="C189" s="24"/>
      <c r="D189" s="24"/>
      <c r="E189" s="24"/>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row>
    <row r="190" spans="2:36" x14ac:dyDescent="0.3">
      <c r="B190" s="16"/>
      <c r="C190" s="24"/>
      <c r="D190" s="24"/>
      <c r="E190" s="24"/>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row>
    <row r="191" spans="2:36" x14ac:dyDescent="0.3">
      <c r="B191" s="16"/>
      <c r="C191" s="24"/>
      <c r="D191" s="24"/>
      <c r="E191" s="24"/>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row>
    <row r="192" spans="2:36" x14ac:dyDescent="0.3">
      <c r="B192" s="16"/>
      <c r="C192" s="24"/>
      <c r="D192" s="24"/>
      <c r="E192" s="24"/>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row>
    <row r="193" spans="2:36" x14ac:dyDescent="0.3">
      <c r="B193" s="16"/>
      <c r="C193" s="24"/>
      <c r="D193" s="24"/>
      <c r="E193" s="24"/>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row>
    <row r="194" spans="2:36" x14ac:dyDescent="0.3">
      <c r="B194" s="16"/>
      <c r="C194" s="24"/>
      <c r="D194" s="24"/>
      <c r="E194" s="24"/>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row>
    <row r="195" spans="2:36" x14ac:dyDescent="0.3">
      <c r="B195" s="16"/>
      <c r="C195" s="24"/>
      <c r="D195" s="24"/>
      <c r="E195" s="24"/>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row>
    <row r="196" spans="2:36" x14ac:dyDescent="0.3">
      <c r="B196" s="16"/>
      <c r="C196" s="24"/>
      <c r="D196" s="24"/>
      <c r="E196" s="24"/>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row>
    <row r="197" spans="2:36" x14ac:dyDescent="0.3">
      <c r="B197" s="16"/>
      <c r="C197" s="24"/>
      <c r="D197" s="24"/>
      <c r="E197" s="24"/>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row>
    <row r="198" spans="2:36" x14ac:dyDescent="0.3">
      <c r="B198" s="16"/>
      <c r="C198" s="24"/>
      <c r="D198" s="24"/>
      <c r="E198" s="24"/>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row>
    <row r="199" spans="2:36" x14ac:dyDescent="0.3">
      <c r="B199" s="16"/>
      <c r="C199" s="24"/>
      <c r="D199" s="24"/>
      <c r="E199" s="24"/>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row>
    <row r="200" spans="2:36" x14ac:dyDescent="0.3">
      <c r="B200" s="16"/>
      <c r="C200" s="24"/>
      <c r="D200" s="24"/>
      <c r="E200" s="24"/>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row>
    <row r="201" spans="2:36" x14ac:dyDescent="0.3">
      <c r="B201" s="16"/>
      <c r="C201" s="24"/>
      <c r="D201" s="24"/>
      <c r="E201" s="24"/>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row>
    <row r="202" spans="2:36" x14ac:dyDescent="0.3">
      <c r="B202" s="16"/>
      <c r="C202" s="24"/>
      <c r="D202" s="24"/>
      <c r="E202" s="24"/>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row>
    <row r="203" spans="2:36" x14ac:dyDescent="0.3">
      <c r="B203" s="16"/>
      <c r="C203" s="24"/>
      <c r="D203" s="24"/>
      <c r="E203" s="24"/>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row>
    <row r="204" spans="2:36" x14ac:dyDescent="0.3">
      <c r="B204" s="16"/>
      <c r="C204" s="24"/>
      <c r="D204" s="24"/>
      <c r="E204" s="24"/>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row>
    <row r="205" spans="2:36" x14ac:dyDescent="0.3">
      <c r="B205" s="16"/>
      <c r="C205" s="24"/>
      <c r="D205" s="24"/>
      <c r="E205" s="24"/>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row>
    <row r="206" spans="2:36" x14ac:dyDescent="0.3">
      <c r="B206" s="16"/>
      <c r="C206" s="24"/>
      <c r="D206" s="24"/>
      <c r="E206" s="24"/>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row>
    <row r="207" spans="2:36" x14ac:dyDescent="0.3">
      <c r="B207" s="16"/>
      <c r="C207" s="24"/>
      <c r="D207" s="24"/>
      <c r="E207" s="24"/>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row>
    <row r="208" spans="2:36" x14ac:dyDescent="0.3">
      <c r="B208" s="16"/>
      <c r="C208" s="24"/>
      <c r="D208" s="24"/>
      <c r="E208" s="24"/>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row>
    <row r="209" spans="2:36" x14ac:dyDescent="0.3">
      <c r="B209" s="16"/>
      <c r="C209" s="24"/>
      <c r="D209" s="24"/>
      <c r="E209" s="24"/>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row>
    <row r="210" spans="2:36" x14ac:dyDescent="0.3">
      <c r="B210" s="16"/>
      <c r="C210" s="24"/>
      <c r="D210" s="24"/>
      <c r="E210" s="24"/>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row>
    <row r="211" spans="2:36" x14ac:dyDescent="0.3">
      <c r="B211" s="16"/>
      <c r="C211" s="24"/>
      <c r="D211" s="24"/>
      <c r="E211" s="24"/>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row>
    <row r="212" spans="2:36" x14ac:dyDescent="0.3">
      <c r="B212" s="16"/>
      <c r="C212" s="24"/>
      <c r="D212" s="24"/>
      <c r="E212" s="24"/>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row>
    <row r="213" spans="2:36" x14ac:dyDescent="0.3">
      <c r="B213" s="16"/>
      <c r="C213" s="24"/>
      <c r="D213" s="24"/>
      <c r="E213" s="24"/>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row>
    <row r="214" spans="2:36" x14ac:dyDescent="0.3">
      <c r="B214" s="16"/>
      <c r="C214" s="24"/>
      <c r="D214" s="24"/>
      <c r="E214" s="24"/>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row>
    <row r="215" spans="2:36" x14ac:dyDescent="0.3">
      <c r="B215" s="16"/>
      <c r="C215" s="24"/>
      <c r="D215" s="24"/>
      <c r="E215" s="24"/>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row>
    <row r="216" spans="2:36" x14ac:dyDescent="0.3">
      <c r="B216" s="16"/>
      <c r="C216" s="24"/>
      <c r="D216" s="24"/>
      <c r="E216" s="24"/>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row>
    <row r="217" spans="2:36" x14ac:dyDescent="0.3">
      <c r="B217" s="16"/>
      <c r="C217" s="24"/>
      <c r="D217" s="24"/>
      <c r="E217" s="24"/>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row>
    <row r="218" spans="2:36" x14ac:dyDescent="0.3">
      <c r="B218" s="16"/>
      <c r="C218" s="24"/>
      <c r="D218" s="24"/>
      <c r="E218" s="24"/>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row>
    <row r="219" spans="2:36" x14ac:dyDescent="0.3">
      <c r="B219" s="16"/>
      <c r="C219" s="24"/>
      <c r="D219" s="24"/>
      <c r="E219" s="24"/>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row>
    <row r="220" spans="2:36" x14ac:dyDescent="0.3">
      <c r="B220" s="16"/>
      <c r="C220" s="24"/>
      <c r="D220" s="24"/>
      <c r="E220" s="24"/>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row>
    <row r="221" spans="2:36" x14ac:dyDescent="0.3">
      <c r="B221" s="16"/>
      <c r="C221" s="24"/>
      <c r="D221" s="24"/>
      <c r="E221" s="24"/>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row>
    <row r="222" spans="2:36" x14ac:dyDescent="0.3">
      <c r="B222" s="16"/>
      <c r="C222" s="24"/>
      <c r="D222" s="24"/>
      <c r="E222" s="24"/>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row>
    <row r="223" spans="2:36" x14ac:dyDescent="0.3">
      <c r="B223" s="16"/>
      <c r="C223" s="24"/>
      <c r="D223" s="24"/>
      <c r="E223" s="24"/>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row>
    <row r="224" spans="2:36" x14ac:dyDescent="0.3">
      <c r="B224" s="16"/>
      <c r="C224" s="24"/>
      <c r="D224" s="24"/>
      <c r="E224" s="24"/>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row>
    <row r="225" spans="2:36" x14ac:dyDescent="0.3">
      <c r="B225" s="16"/>
      <c r="C225" s="24"/>
      <c r="D225" s="24"/>
      <c r="E225" s="24"/>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row>
    <row r="226" spans="2:36" x14ac:dyDescent="0.3">
      <c r="B226" s="16"/>
      <c r="C226" s="24"/>
      <c r="D226" s="24"/>
      <c r="E226" s="24"/>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row>
    <row r="227" spans="2:36" x14ac:dyDescent="0.3">
      <c r="B227" s="16"/>
      <c r="C227" s="24"/>
      <c r="D227" s="24"/>
      <c r="E227" s="24"/>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row>
    <row r="228" spans="2:36" x14ac:dyDescent="0.3">
      <c r="B228" s="16"/>
      <c r="C228" s="24"/>
      <c r="D228" s="24"/>
      <c r="E228" s="24"/>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row>
    <row r="229" spans="2:36" x14ac:dyDescent="0.3">
      <c r="B229" s="16"/>
      <c r="C229" s="24"/>
      <c r="D229" s="24"/>
      <c r="E229" s="24"/>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row>
    <row r="230" spans="2:36" x14ac:dyDescent="0.3">
      <c r="B230" s="16"/>
      <c r="C230" s="24"/>
      <c r="D230" s="24"/>
      <c r="E230" s="24"/>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row>
    <row r="231" spans="2:36" x14ac:dyDescent="0.3">
      <c r="B231" s="16"/>
      <c r="C231" s="24"/>
      <c r="D231" s="24"/>
      <c r="E231" s="24"/>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row>
    <row r="232" spans="2:36" x14ac:dyDescent="0.3">
      <c r="B232" s="16"/>
      <c r="C232" s="24"/>
      <c r="D232" s="24"/>
      <c r="E232" s="24"/>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row>
    <row r="233" spans="2:36" x14ac:dyDescent="0.3">
      <c r="B233" s="16"/>
      <c r="C233" s="24"/>
      <c r="D233" s="24"/>
      <c r="E233" s="24"/>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row>
    <row r="234" spans="2:36" x14ac:dyDescent="0.3">
      <c r="C234" s="24"/>
      <c r="D234" s="24"/>
      <c r="E234" s="24"/>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row>
    <row r="235" spans="2:36" x14ac:dyDescent="0.3">
      <c r="C235" s="24"/>
      <c r="D235" s="24"/>
      <c r="E235" s="24"/>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row>
    <row r="236" spans="2:36" x14ac:dyDescent="0.3">
      <c r="C236" s="25"/>
      <c r="D236" s="25"/>
      <c r="E236" s="25"/>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row>
    <row r="237" spans="2:36" x14ac:dyDescent="0.3">
      <c r="C237" s="25"/>
      <c r="D237" s="25"/>
      <c r="E237" s="25"/>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row>
    <row r="238" spans="2:36" x14ac:dyDescent="0.3">
      <c r="C238" s="25"/>
      <c r="D238" s="25"/>
      <c r="E238" s="25"/>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row>
    <row r="239" spans="2:36" x14ac:dyDescent="0.3">
      <c r="C239" s="25"/>
      <c r="D239" s="25"/>
      <c r="E239" s="25"/>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row>
    <row r="240" spans="2:36" x14ac:dyDescent="0.3">
      <c r="C240" s="25"/>
      <c r="D240" s="25"/>
      <c r="E240" s="25"/>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row>
    <row r="241" spans="3:36" x14ac:dyDescent="0.3">
      <c r="C241" s="25"/>
      <c r="D241" s="25"/>
      <c r="E241" s="25"/>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row>
    <row r="242" spans="3:36" x14ac:dyDescent="0.3">
      <c r="C242" s="25"/>
      <c r="D242" s="25"/>
      <c r="E242" s="25"/>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row>
    <row r="243" spans="3:36" x14ac:dyDescent="0.3">
      <c r="C243" s="25"/>
      <c r="D243" s="25"/>
      <c r="E243" s="25"/>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row>
    <row r="244" spans="3:36" x14ac:dyDescent="0.3">
      <c r="C244" s="25"/>
      <c r="D244" s="25"/>
      <c r="E244" s="25"/>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row>
    <row r="245" spans="3:36" x14ac:dyDescent="0.3">
      <c r="C245" s="25"/>
      <c r="D245" s="25"/>
      <c r="E245" s="25"/>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row>
    <row r="246" spans="3:36" x14ac:dyDescent="0.3">
      <c r="C246" s="25"/>
      <c r="D246" s="25"/>
      <c r="E246" s="25"/>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row>
    <row r="247" spans="3:36" x14ac:dyDescent="0.3">
      <c r="C247" s="25"/>
      <c r="D247" s="25"/>
      <c r="E247" s="25"/>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row>
    <row r="248" spans="3:36" x14ac:dyDescent="0.3">
      <c r="C248" s="25"/>
      <c r="D248" s="25"/>
      <c r="E248" s="25"/>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row>
    <row r="249" spans="3:36" x14ac:dyDescent="0.3">
      <c r="C249" s="25"/>
      <c r="D249" s="25"/>
      <c r="E249" s="25"/>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row>
    <row r="250" spans="3:36" x14ac:dyDescent="0.3">
      <c r="C250" s="25"/>
      <c r="D250" s="25"/>
      <c r="E250" s="25"/>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row>
    <row r="251" spans="3:36" x14ac:dyDescent="0.3">
      <c r="C251" s="25"/>
      <c r="D251" s="25"/>
      <c r="E251" s="25"/>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row>
    <row r="252" spans="3:36" x14ac:dyDescent="0.3">
      <c r="C252" s="25"/>
      <c r="D252" s="25"/>
      <c r="E252" s="25"/>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row>
    <row r="253" spans="3:36" x14ac:dyDescent="0.3">
      <c r="C253" s="25"/>
      <c r="D253" s="25"/>
      <c r="E253" s="25"/>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row>
    <row r="254" spans="3:36" x14ac:dyDescent="0.3">
      <c r="C254" s="25"/>
      <c r="D254" s="25"/>
      <c r="E254" s="25"/>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row>
    <row r="255" spans="3:36" x14ac:dyDescent="0.3">
      <c r="C255" s="25"/>
      <c r="D255" s="25"/>
      <c r="E255" s="25"/>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row>
    <row r="256" spans="3:36" x14ac:dyDescent="0.3">
      <c r="C256" s="25"/>
      <c r="D256" s="25"/>
      <c r="E256" s="25"/>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row>
    <row r="257" spans="3:36" x14ac:dyDescent="0.3">
      <c r="C257" s="25"/>
      <c r="D257" s="25"/>
      <c r="E257" s="25"/>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row>
    <row r="258" spans="3:36" x14ac:dyDescent="0.3">
      <c r="C258" s="25"/>
      <c r="D258" s="25"/>
      <c r="E258" s="25"/>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row>
    <row r="259" spans="3:36" x14ac:dyDescent="0.3">
      <c r="C259" s="25"/>
      <c r="D259" s="25"/>
      <c r="E259" s="25"/>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row>
    <row r="260" spans="3:36" x14ac:dyDescent="0.3">
      <c r="C260" s="25"/>
      <c r="D260" s="25"/>
      <c r="E260" s="25"/>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row>
    <row r="261" spans="3:36" x14ac:dyDescent="0.3">
      <c r="C261" s="25"/>
      <c r="D261" s="25"/>
      <c r="E261" s="25"/>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row>
    <row r="262" spans="3:36" x14ac:dyDescent="0.3">
      <c r="C262" s="25"/>
      <c r="D262" s="25"/>
      <c r="E262" s="25"/>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row>
    <row r="263" spans="3:36" x14ac:dyDescent="0.3">
      <c r="C263" s="25"/>
      <c r="D263" s="25"/>
      <c r="E263" s="25"/>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row>
    <row r="264" spans="3:36" x14ac:dyDescent="0.3">
      <c r="C264" s="25"/>
      <c r="D264" s="25"/>
      <c r="E264" s="25"/>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row>
    <row r="265" spans="3:36" x14ac:dyDescent="0.3">
      <c r="C265" s="25"/>
      <c r="D265" s="25"/>
      <c r="E265" s="25"/>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row>
    <row r="266" spans="3:36" x14ac:dyDescent="0.3">
      <c r="C266" s="25"/>
      <c r="D266" s="25"/>
      <c r="E266" s="25"/>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row>
    <row r="267" spans="3:36" x14ac:dyDescent="0.3">
      <c r="C267" s="25"/>
      <c r="D267" s="25"/>
      <c r="E267" s="25"/>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row>
    <row r="268" spans="3:36" x14ac:dyDescent="0.3">
      <c r="C268" s="25"/>
      <c r="D268" s="25"/>
      <c r="E268" s="25"/>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row>
    <row r="269" spans="3:36" x14ac:dyDescent="0.3">
      <c r="C269" s="25"/>
      <c r="D269" s="25"/>
      <c r="E269" s="25"/>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row>
    <row r="270" spans="3:36" x14ac:dyDescent="0.3">
      <c r="C270" s="25"/>
      <c r="D270" s="25"/>
      <c r="E270" s="25"/>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row>
    <row r="271" spans="3:36" x14ac:dyDescent="0.3">
      <c r="C271" s="25"/>
      <c r="D271" s="25"/>
      <c r="E271" s="25"/>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row>
    <row r="272" spans="3:36" x14ac:dyDescent="0.3">
      <c r="C272" s="25"/>
      <c r="D272" s="25"/>
      <c r="E272" s="25"/>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row>
    <row r="273" spans="3:36" x14ac:dyDescent="0.3">
      <c r="C273" s="25"/>
      <c r="D273" s="25"/>
      <c r="E273" s="25"/>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row>
    <row r="274" spans="3:36" x14ac:dyDescent="0.3">
      <c r="C274" s="25"/>
      <c r="D274" s="25"/>
      <c r="E274" s="25"/>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row>
    <row r="275" spans="3:36" x14ac:dyDescent="0.3">
      <c r="C275" s="25"/>
      <c r="D275" s="25"/>
      <c r="E275" s="25"/>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row>
    <row r="276" spans="3:36" x14ac:dyDescent="0.3">
      <c r="C276" s="25"/>
      <c r="D276" s="25"/>
      <c r="E276" s="25"/>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row>
    <row r="277" spans="3:36" x14ac:dyDescent="0.3">
      <c r="C277" s="25"/>
      <c r="D277" s="25"/>
      <c r="E277" s="25"/>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row>
    <row r="278" spans="3:36" x14ac:dyDescent="0.3">
      <c r="C278" s="25"/>
      <c r="D278" s="25"/>
      <c r="E278" s="25"/>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row>
    <row r="279" spans="3:36" x14ac:dyDescent="0.3">
      <c r="C279" s="25"/>
      <c r="D279" s="25"/>
      <c r="E279" s="25"/>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row>
    <row r="280" spans="3:36" x14ac:dyDescent="0.3">
      <c r="C280" s="25"/>
      <c r="D280" s="25"/>
      <c r="E280" s="25"/>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row>
    <row r="281" spans="3:36" x14ac:dyDescent="0.3">
      <c r="C281" s="25"/>
      <c r="D281" s="25"/>
      <c r="E281" s="25"/>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row>
    <row r="282" spans="3:36" x14ac:dyDescent="0.3">
      <c r="C282" s="25"/>
      <c r="D282" s="25"/>
      <c r="E282" s="25"/>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row>
    <row r="283" spans="3:36" x14ac:dyDescent="0.3">
      <c r="C283" s="25"/>
      <c r="D283" s="25"/>
      <c r="E283" s="25"/>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row>
    <row r="284" spans="3:36" x14ac:dyDescent="0.3">
      <c r="C284" s="25"/>
      <c r="D284" s="25"/>
      <c r="E284" s="25"/>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row>
    <row r="285" spans="3:36" x14ac:dyDescent="0.3">
      <c r="C285" s="25"/>
      <c r="D285" s="25"/>
      <c r="E285" s="25"/>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row>
    <row r="286" spans="3:36" x14ac:dyDescent="0.3">
      <c r="C286" s="25"/>
      <c r="D286" s="25"/>
      <c r="E286" s="25"/>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row>
    <row r="287" spans="3:36" x14ac:dyDescent="0.3">
      <c r="C287" s="25"/>
      <c r="D287" s="25"/>
      <c r="E287" s="25"/>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row>
    <row r="288" spans="3:36" x14ac:dyDescent="0.3">
      <c r="C288" s="25"/>
      <c r="D288" s="25"/>
      <c r="E288" s="25"/>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row>
    <row r="289" spans="3:36" x14ac:dyDescent="0.3">
      <c r="C289" s="25"/>
      <c r="D289" s="25"/>
      <c r="E289" s="25"/>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row>
    <row r="290" spans="3:36" x14ac:dyDescent="0.3">
      <c r="C290" s="25"/>
      <c r="D290" s="25"/>
      <c r="E290" s="25"/>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row>
    <row r="291" spans="3:36" x14ac:dyDescent="0.3">
      <c r="C291" s="25"/>
      <c r="D291" s="25"/>
      <c r="E291" s="25"/>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row>
    <row r="292" spans="3:36" x14ac:dyDescent="0.3">
      <c r="C292" s="25"/>
      <c r="D292" s="25"/>
      <c r="E292" s="25"/>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row>
    <row r="293" spans="3:36" x14ac:dyDescent="0.3">
      <c r="C293" s="25"/>
      <c r="D293" s="25"/>
      <c r="E293" s="25"/>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row>
    <row r="294" spans="3:36" x14ac:dyDescent="0.3">
      <c r="C294" s="25"/>
      <c r="D294" s="25"/>
      <c r="E294" s="25"/>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row>
    <row r="295" spans="3:36" x14ac:dyDescent="0.3">
      <c r="C295" s="25"/>
      <c r="D295" s="25"/>
      <c r="E295" s="25"/>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row>
    <row r="296" spans="3:36" x14ac:dyDescent="0.3">
      <c r="C296" s="25"/>
      <c r="D296" s="25"/>
      <c r="E296" s="25"/>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row>
    <row r="297" spans="3:36" x14ac:dyDescent="0.3">
      <c r="C297" s="25"/>
      <c r="D297" s="25"/>
      <c r="E297" s="25"/>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row>
    <row r="298" spans="3:36" x14ac:dyDescent="0.3">
      <c r="C298" s="25"/>
      <c r="D298" s="25"/>
      <c r="E298" s="25"/>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row>
    <row r="299" spans="3:36" x14ac:dyDescent="0.3">
      <c r="C299" s="25"/>
      <c r="D299" s="25"/>
      <c r="E299" s="25"/>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row>
    <row r="300" spans="3:36" x14ac:dyDescent="0.3">
      <c r="C300" s="25"/>
      <c r="D300" s="25"/>
      <c r="E300" s="25"/>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row>
    <row r="301" spans="3:36" x14ac:dyDescent="0.3">
      <c r="C301" s="25"/>
      <c r="D301" s="25"/>
      <c r="E301" s="25"/>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row>
    <row r="302" spans="3:36" x14ac:dyDescent="0.3">
      <c r="C302" s="25"/>
      <c r="D302" s="25"/>
      <c r="E302" s="25"/>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row>
    <row r="303" spans="3:36" x14ac:dyDescent="0.3">
      <c r="C303" s="25"/>
      <c r="D303" s="25"/>
      <c r="E303" s="25"/>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row>
    <row r="304" spans="3:36" x14ac:dyDescent="0.3">
      <c r="C304" s="25"/>
      <c r="D304" s="25"/>
      <c r="E304" s="25"/>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row>
    <row r="305" spans="3:36" x14ac:dyDescent="0.3">
      <c r="C305" s="25"/>
      <c r="D305" s="25"/>
      <c r="E305" s="25"/>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row>
    <row r="306" spans="3:36" x14ac:dyDescent="0.3">
      <c r="C306" s="25"/>
      <c r="D306" s="25"/>
      <c r="E306" s="25"/>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row>
    <row r="307" spans="3:36" x14ac:dyDescent="0.3">
      <c r="C307" s="25"/>
      <c r="D307" s="25"/>
      <c r="E307" s="25"/>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row>
    <row r="308" spans="3:36" x14ac:dyDescent="0.3">
      <c r="C308" s="25"/>
      <c r="D308" s="25"/>
      <c r="E308" s="25"/>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row>
    <row r="309" spans="3:36" x14ac:dyDescent="0.3">
      <c r="C309" s="25"/>
      <c r="D309" s="25"/>
      <c r="E309" s="25"/>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row>
    <row r="310" spans="3:36" x14ac:dyDescent="0.3">
      <c r="C310" s="25"/>
      <c r="D310" s="25"/>
      <c r="E310" s="25"/>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row>
    <row r="311" spans="3:36" x14ac:dyDescent="0.3">
      <c r="C311" s="25"/>
      <c r="D311" s="25"/>
      <c r="E311" s="25"/>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row>
    <row r="312" spans="3:36" x14ac:dyDescent="0.3">
      <c r="C312" s="25"/>
      <c r="D312" s="25"/>
      <c r="E312" s="25"/>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row>
    <row r="313" spans="3:36" x14ac:dyDescent="0.3">
      <c r="C313" s="25"/>
      <c r="D313" s="25"/>
      <c r="E313" s="25"/>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row>
    <row r="314" spans="3:36" x14ac:dyDescent="0.3">
      <c r="C314" s="25"/>
      <c r="D314" s="25"/>
      <c r="E314" s="25"/>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row>
    <row r="315" spans="3:36" x14ac:dyDescent="0.3">
      <c r="C315" s="25"/>
      <c r="D315" s="25"/>
      <c r="E315" s="25"/>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row>
    <row r="316" spans="3:36" x14ac:dyDescent="0.3">
      <c r="C316" s="25"/>
      <c r="D316" s="25"/>
      <c r="E316" s="25"/>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row>
    <row r="317" spans="3:36" x14ac:dyDescent="0.3">
      <c r="C317" s="25"/>
      <c r="D317" s="25"/>
      <c r="E317" s="25"/>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row>
    <row r="318" spans="3:36" x14ac:dyDescent="0.3">
      <c r="C318" s="25"/>
      <c r="D318" s="25"/>
      <c r="E318" s="25"/>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row>
    <row r="319" spans="3:36" x14ac:dyDescent="0.3">
      <c r="C319" s="25"/>
      <c r="D319" s="25"/>
      <c r="E319" s="25"/>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row>
    <row r="320" spans="3:36" x14ac:dyDescent="0.3">
      <c r="C320" s="25"/>
      <c r="D320" s="25"/>
      <c r="E320" s="25"/>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row>
    <row r="321" spans="3:36" x14ac:dyDescent="0.3">
      <c r="C321" s="25"/>
      <c r="D321" s="25"/>
      <c r="E321" s="25"/>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row>
    <row r="322" spans="3:36" x14ac:dyDescent="0.3">
      <c r="C322" s="25"/>
      <c r="D322" s="25"/>
      <c r="E322" s="25"/>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row>
    <row r="323" spans="3:36" x14ac:dyDescent="0.3">
      <c r="C323" s="25"/>
      <c r="D323" s="25"/>
      <c r="E323" s="25"/>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row>
    <row r="324" spans="3:36" x14ac:dyDescent="0.3">
      <c r="C324" s="25"/>
      <c r="D324" s="25"/>
      <c r="E324" s="25"/>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row>
    <row r="325" spans="3:36" x14ac:dyDescent="0.3">
      <c r="C325" s="25"/>
      <c r="D325" s="25"/>
      <c r="E325" s="25"/>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row>
    <row r="326" spans="3:36" x14ac:dyDescent="0.3">
      <c r="C326" s="25"/>
      <c r="D326" s="25"/>
      <c r="E326" s="25"/>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row>
    <row r="327" spans="3:36" x14ac:dyDescent="0.3">
      <c r="C327" s="25"/>
      <c r="D327" s="25"/>
      <c r="E327" s="25"/>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row>
    <row r="328" spans="3:36" x14ac:dyDescent="0.3">
      <c r="C328" s="25"/>
      <c r="D328" s="25"/>
      <c r="E328" s="25"/>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row>
    <row r="329" spans="3:36" x14ac:dyDescent="0.3">
      <c r="C329" s="25"/>
      <c r="D329" s="25"/>
      <c r="E329" s="25"/>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row>
    <row r="330" spans="3:36" x14ac:dyDescent="0.3">
      <c r="C330" s="25"/>
      <c r="D330" s="25"/>
      <c r="E330" s="25"/>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row>
    <row r="331" spans="3:36" x14ac:dyDescent="0.3">
      <c r="C331" s="25"/>
      <c r="D331" s="25"/>
      <c r="E331" s="25"/>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row>
    <row r="332" spans="3:36" x14ac:dyDescent="0.3">
      <c r="C332" s="25"/>
      <c r="D332" s="25"/>
      <c r="E332" s="25"/>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row>
    <row r="333" spans="3:36" x14ac:dyDescent="0.3">
      <c r="C333" s="25"/>
      <c r="D333" s="25"/>
      <c r="E333" s="25"/>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row>
    <row r="334" spans="3:36" x14ac:dyDescent="0.3">
      <c r="C334" s="25"/>
      <c r="D334" s="25"/>
      <c r="E334" s="25"/>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row>
    <row r="335" spans="3:36" x14ac:dyDescent="0.3">
      <c r="C335" s="25"/>
      <c r="D335" s="25"/>
      <c r="E335" s="25"/>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row>
    <row r="336" spans="3:36" x14ac:dyDescent="0.3">
      <c r="C336" s="25"/>
      <c r="D336" s="25"/>
      <c r="E336" s="25"/>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row>
    <row r="337" spans="10:36" x14ac:dyDescent="0.3">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row>
    <row r="338" spans="10:36" x14ac:dyDescent="0.3">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row>
    <row r="339" spans="10:36" x14ac:dyDescent="0.3">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row>
    <row r="340" spans="10:36" x14ac:dyDescent="0.3">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row>
    <row r="341" spans="10:36" x14ac:dyDescent="0.3">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row>
    <row r="342" spans="10:36" x14ac:dyDescent="0.3">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row>
    <row r="343" spans="10:36" x14ac:dyDescent="0.3">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row>
    <row r="344" spans="10:36" x14ac:dyDescent="0.3">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row>
    <row r="345" spans="10:36" x14ac:dyDescent="0.3">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row>
    <row r="346" spans="10:36" x14ac:dyDescent="0.3">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row>
  </sheetData>
  <mergeCells count="2">
    <mergeCell ref="C6:E6"/>
    <mergeCell ref="G6:I6"/>
  </mergeCell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T358"/>
  <sheetViews>
    <sheetView showGridLines="0" zoomScale="90" zoomScaleNormal="90" zoomScaleSheetLayoutView="143" zoomScalePageLayoutView="123" workbookViewId="0">
      <pane xSplit="2" ySplit="8" topLeftCell="C135" activePane="bottomRight" state="frozen"/>
      <selection pane="topRight" activeCell="B1" sqref="B1"/>
      <selection pane="bottomLeft" activeCell="A10" sqref="A10"/>
      <selection pane="bottomRight" activeCell="C9" sqref="C9"/>
    </sheetView>
  </sheetViews>
  <sheetFormatPr defaultColWidth="11.3984375" defaultRowHeight="15.5" x14ac:dyDescent="0.3"/>
  <cols>
    <col min="1" max="1" width="8.69921875" style="16" customWidth="1"/>
    <col min="2" max="4" width="11.69921875" style="17" customWidth="1"/>
    <col min="5" max="5" width="4.69921875" style="17" customWidth="1"/>
    <col min="6" max="10" width="11.69921875" style="17" customWidth="1"/>
    <col min="11" max="11" width="4.69921875" style="17" customWidth="1"/>
    <col min="12" max="17" width="11.69921875" style="17" customWidth="1"/>
    <col min="18" max="16384" width="11.3984375" style="17"/>
  </cols>
  <sheetData>
    <row r="1" spans="1:46" s="4" customFormat="1" ht="27" customHeight="1" x14ac:dyDescent="0.35"/>
    <row r="2" spans="1:46" s="6" customFormat="1" ht="21" customHeight="1" x14ac:dyDescent="0.4">
      <c r="A2" s="26" t="s">
        <v>0</v>
      </c>
      <c r="B2" s="26"/>
      <c r="C2" s="26"/>
      <c r="D2" s="26"/>
      <c r="E2" s="26"/>
      <c r="F2" s="26"/>
      <c r="G2" s="26"/>
      <c r="H2" s="26"/>
      <c r="I2" s="26"/>
      <c r="J2" s="26"/>
      <c r="K2" s="26"/>
      <c r="L2" s="26"/>
      <c r="M2" s="26"/>
      <c r="N2" s="26"/>
      <c r="O2" s="26"/>
      <c r="P2" s="2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s="10" customFormat="1" ht="12.75" customHeight="1" x14ac:dyDescent="0.3">
      <c r="A3" s="7" t="s">
        <v>22</v>
      </c>
      <c r="B3" s="7"/>
      <c r="C3" s="7"/>
      <c r="D3" s="7"/>
      <c r="E3" s="7"/>
      <c r="F3" s="7"/>
      <c r="G3" s="7"/>
      <c r="H3" s="7"/>
      <c r="I3" s="7"/>
      <c r="J3" s="7"/>
      <c r="K3" s="7"/>
      <c r="L3" s="8"/>
      <c r="M3" s="9"/>
      <c r="N3" s="9"/>
      <c r="O3" s="9"/>
      <c r="P3" s="9"/>
      <c r="Q3" s="9"/>
      <c r="R3" s="9"/>
      <c r="S3" s="9"/>
      <c r="T3" s="9"/>
      <c r="U3" s="8"/>
      <c r="V3" s="8"/>
      <c r="W3" s="8"/>
      <c r="X3" s="8"/>
      <c r="Y3" s="8"/>
      <c r="Z3" s="8"/>
      <c r="AA3" s="8"/>
      <c r="AB3" s="8"/>
      <c r="AC3" s="8"/>
      <c r="AD3" s="8"/>
      <c r="AE3" s="8"/>
      <c r="AF3" s="8"/>
      <c r="AG3" s="8"/>
      <c r="AH3" s="8"/>
      <c r="AI3" s="8"/>
      <c r="AJ3" s="8"/>
      <c r="AK3" s="8"/>
      <c r="AL3" s="8"/>
      <c r="AM3" s="8"/>
      <c r="AN3" s="8"/>
      <c r="AO3" s="8"/>
      <c r="AP3" s="8"/>
      <c r="AQ3" s="8"/>
      <c r="AR3" s="8"/>
      <c r="AS3" s="8"/>
      <c r="AT3" s="8"/>
    </row>
    <row r="4" spans="1:46" s="13" customFormat="1" ht="15" customHeight="1" x14ac:dyDescent="0.35">
      <c r="A4" s="11" t="s">
        <v>27</v>
      </c>
      <c r="B4" s="11"/>
      <c r="C4" s="11"/>
      <c r="D4" s="11"/>
      <c r="E4" s="11"/>
      <c r="F4" s="11"/>
      <c r="G4" s="11"/>
      <c r="H4" s="11"/>
      <c r="I4" s="11"/>
      <c r="J4" s="11"/>
      <c r="K4" s="11"/>
      <c r="L4" s="12"/>
      <c r="M4" s="9"/>
      <c r="N4" s="9"/>
      <c r="O4" s="9"/>
      <c r="P4" s="9"/>
      <c r="Q4" s="9"/>
      <c r="R4" s="9"/>
      <c r="S4" s="9"/>
      <c r="T4" s="9"/>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s="15" customFormat="1" ht="13.5" customHeight="1" x14ac:dyDescent="0.35">
      <c r="A5" s="7" t="s">
        <v>54</v>
      </c>
      <c r="B5" s="7"/>
      <c r="C5" s="7"/>
      <c r="D5" s="7"/>
      <c r="E5" s="7"/>
      <c r="F5" s="7"/>
      <c r="G5" s="7"/>
      <c r="H5" s="7"/>
      <c r="I5" s="7"/>
      <c r="J5" s="7"/>
      <c r="K5" s="7"/>
      <c r="L5" s="14"/>
      <c r="M5" s="9"/>
      <c r="N5" s="9"/>
      <c r="O5" s="9"/>
      <c r="P5" s="9"/>
      <c r="Q5" s="9"/>
      <c r="R5" s="9"/>
      <c r="S5" s="9"/>
      <c r="T5" s="9"/>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x14ac:dyDescent="0.3">
      <c r="B6" s="16"/>
      <c r="C6" s="16"/>
      <c r="D6" s="16"/>
      <c r="E6" s="16"/>
      <c r="F6" s="99" t="s">
        <v>25</v>
      </c>
      <c r="G6" s="100"/>
      <c r="H6" s="100"/>
      <c r="I6" s="100"/>
      <c r="J6" s="100"/>
      <c r="K6" s="16"/>
      <c r="L6" s="101" t="s">
        <v>26</v>
      </c>
      <c r="M6" s="102"/>
      <c r="N6" s="102"/>
      <c r="O6" s="102"/>
      <c r="P6" s="102"/>
      <c r="Q6" s="102"/>
      <c r="R6" s="9"/>
      <c r="S6" s="9"/>
      <c r="T6" s="9"/>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ht="39" customHeight="1" x14ac:dyDescent="0.3">
      <c r="B7" s="18"/>
      <c r="C7" s="71" t="s">
        <v>28</v>
      </c>
      <c r="D7" s="72" t="s">
        <v>29</v>
      </c>
      <c r="E7" s="16"/>
      <c r="F7" s="19" t="s">
        <v>2</v>
      </c>
      <c r="G7" s="19" t="s">
        <v>3</v>
      </c>
      <c r="H7" s="19" t="s">
        <v>4</v>
      </c>
      <c r="I7" s="19" t="s">
        <v>5</v>
      </c>
      <c r="J7" s="33" t="s">
        <v>3</v>
      </c>
      <c r="L7" s="20" t="s">
        <v>7</v>
      </c>
      <c r="M7" s="20" t="s">
        <v>9</v>
      </c>
      <c r="N7" s="20" t="s">
        <v>8</v>
      </c>
      <c r="O7" s="20" t="s">
        <v>7</v>
      </c>
      <c r="P7" s="20" t="s">
        <v>9</v>
      </c>
      <c r="Q7" s="20" t="s">
        <v>8</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6" x14ac:dyDescent="0.3">
      <c r="B8" s="18"/>
      <c r="C8" s="103" t="s">
        <v>1</v>
      </c>
      <c r="D8" s="104"/>
      <c r="E8" s="16"/>
      <c r="F8" s="21" t="s">
        <v>6</v>
      </c>
      <c r="G8" s="21" t="s">
        <v>6</v>
      </c>
      <c r="H8" s="21" t="s">
        <v>1</v>
      </c>
      <c r="I8" s="21" t="s">
        <v>1</v>
      </c>
      <c r="J8" s="21" t="s">
        <v>1</v>
      </c>
      <c r="K8" s="16"/>
      <c r="L8" s="21" t="s">
        <v>6</v>
      </c>
      <c r="M8" s="21" t="s">
        <v>6</v>
      </c>
      <c r="N8" s="21" t="s">
        <v>6</v>
      </c>
      <c r="O8" s="21" t="s">
        <v>1</v>
      </c>
      <c r="P8" s="21" t="s">
        <v>1</v>
      </c>
      <c r="Q8" s="21" t="s">
        <v>1</v>
      </c>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row>
    <row r="9" spans="1:46" x14ac:dyDescent="0.3">
      <c r="B9" s="41">
        <v>40179</v>
      </c>
      <c r="C9" s="34">
        <f>H9+I9+J9</f>
        <v>25.057342775786097</v>
      </c>
      <c r="D9" s="34">
        <f>O9+P9+Q9</f>
        <v>27.24814784371754</v>
      </c>
      <c r="E9" s="35"/>
      <c r="F9" s="36">
        <v>2700</v>
      </c>
      <c r="G9" s="36">
        <v>1750</v>
      </c>
      <c r="H9" s="34">
        <f t="shared" ref="H9:H72" si="0">(F9-237)*100/20273</f>
        <v>12.149163912593105</v>
      </c>
      <c r="I9" s="34">
        <f t="shared" ref="I9:I72" si="1">((G9-103)-352)*100/217740</f>
        <v>0.59474602737209514</v>
      </c>
      <c r="J9" s="34">
        <f t="shared" ref="J9:J72" si="2">(G9-430)*100/10720</f>
        <v>12.313432835820896</v>
      </c>
      <c r="K9" s="35"/>
      <c r="L9" s="36">
        <v>2600</v>
      </c>
      <c r="M9" s="36">
        <v>639.4248</v>
      </c>
      <c r="N9" s="36">
        <v>2400</v>
      </c>
      <c r="O9" s="34">
        <v>24.49462365591398</v>
      </c>
      <c r="P9" s="34">
        <f>(M9-340)*100/17000</f>
        <v>1.7613223529411763</v>
      </c>
      <c r="Q9" s="34">
        <f>(N9-237)*100/218000</f>
        <v>0.99220183486238533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row>
    <row r="10" spans="1:46" x14ac:dyDescent="0.3">
      <c r="B10" s="42">
        <v>40210</v>
      </c>
      <c r="C10" s="37">
        <f t="shared" ref="C10:C73" si="3">H10+I10+J10</f>
        <v>24.066923133144176</v>
      </c>
      <c r="D10" s="37">
        <f t="shared" ref="D10:D73" si="4">O10+P10+Q10</f>
        <v>26.778622576583164</v>
      </c>
      <c r="E10" s="35"/>
      <c r="F10" s="38">
        <v>2400</v>
      </c>
      <c r="G10" s="38">
        <v>1800</v>
      </c>
      <c r="H10" s="37">
        <f t="shared" si="0"/>
        <v>10.66936319242342</v>
      </c>
      <c r="I10" s="37">
        <f t="shared" si="1"/>
        <v>0.61770919445209882</v>
      </c>
      <c r="J10" s="37">
        <f t="shared" si="2"/>
        <v>12.779850746268657</v>
      </c>
      <c r="K10" s="35"/>
      <c r="L10" s="38">
        <v>2600</v>
      </c>
      <c r="M10" s="38">
        <v>583</v>
      </c>
      <c r="N10" s="38">
        <v>2100</v>
      </c>
      <c r="O10" s="37">
        <v>24.49462365591398</v>
      </c>
      <c r="P10" s="37">
        <f>(M10-340)*100/17000</f>
        <v>1.4294117647058824</v>
      </c>
      <c r="Q10" s="37">
        <f>(N10-237)*100/218000</f>
        <v>0.8545871559633027</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row>
    <row r="11" spans="1:46" x14ac:dyDescent="0.3">
      <c r="B11" s="41">
        <v>40238</v>
      </c>
      <c r="C11" s="34">
        <f t="shared" si="3"/>
        <v>25.542838024118396</v>
      </c>
      <c r="D11" s="34">
        <f t="shared" si="4"/>
        <v>26.882130401731573</v>
      </c>
      <c r="E11" s="35"/>
      <c r="F11" s="36">
        <v>2600</v>
      </c>
      <c r="G11" s="36">
        <v>1850</v>
      </c>
      <c r="H11" s="34">
        <f t="shared" si="0"/>
        <v>11.655897005869877</v>
      </c>
      <c r="I11" s="34">
        <f t="shared" si="1"/>
        <v>0.6406723615321025</v>
      </c>
      <c r="J11" s="34">
        <f t="shared" si="2"/>
        <v>13.246268656716419</v>
      </c>
      <c r="K11" s="35"/>
      <c r="L11" s="36">
        <v>2600</v>
      </c>
      <c r="M11" s="36">
        <v>585</v>
      </c>
      <c r="N11" s="36">
        <v>2300</v>
      </c>
      <c r="O11" s="34">
        <v>24.49462365591398</v>
      </c>
      <c r="P11" s="34">
        <f t="shared" ref="P11:P74" si="5">(M11-340)*100/17000</f>
        <v>1.4411764705882353</v>
      </c>
      <c r="Q11" s="34">
        <f t="shared" ref="Q11:Q74" si="6">(N11-237)*100/218000</f>
        <v>0.94633027522935775</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6" x14ac:dyDescent="0.3">
      <c r="B12" s="42">
        <v>40269</v>
      </c>
      <c r="C12" s="37">
        <f t="shared" si="3"/>
        <v>28.005286728539073</v>
      </c>
      <c r="D12" s="37">
        <f t="shared" si="4"/>
        <v>28.150629284159951</v>
      </c>
      <c r="E12" s="35"/>
      <c r="F12" s="38">
        <v>3000</v>
      </c>
      <c r="G12" s="38">
        <v>1900</v>
      </c>
      <c r="H12" s="37">
        <f t="shared" si="0"/>
        <v>13.628964632762788</v>
      </c>
      <c r="I12" s="37">
        <f t="shared" si="1"/>
        <v>0.66363552861210617</v>
      </c>
      <c r="J12" s="37">
        <f t="shared" si="2"/>
        <v>13.712686567164178</v>
      </c>
      <c r="K12" s="35"/>
      <c r="L12" s="38">
        <v>2650</v>
      </c>
      <c r="M12" s="38">
        <v>678.05430000000001</v>
      </c>
      <c r="N12" s="38">
        <v>2700</v>
      </c>
      <c r="O12" s="37">
        <v>25.032258064516128</v>
      </c>
      <c r="P12" s="37">
        <f t="shared" si="5"/>
        <v>1.9885547058823529</v>
      </c>
      <c r="Q12" s="37">
        <f t="shared" si="6"/>
        <v>1.129816513761468</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row>
    <row r="13" spans="1:46" x14ac:dyDescent="0.3">
      <c r="B13" s="41">
        <v>40299</v>
      </c>
      <c r="C13" s="34">
        <f t="shared" si="3"/>
        <v>30.467735432959749</v>
      </c>
      <c r="D13" s="34">
        <f t="shared" si="4"/>
        <v>29.446699336733804</v>
      </c>
      <c r="E13" s="35"/>
      <c r="F13" s="36">
        <v>3400</v>
      </c>
      <c r="G13" s="36">
        <v>1950</v>
      </c>
      <c r="H13" s="34">
        <f t="shared" si="0"/>
        <v>15.602032259655699</v>
      </c>
      <c r="I13" s="34">
        <f t="shared" si="1"/>
        <v>0.68659869569210985</v>
      </c>
      <c r="J13" s="34">
        <f t="shared" si="2"/>
        <v>14.17910447761194</v>
      </c>
      <c r="K13" s="35"/>
      <c r="L13" s="36">
        <v>2800</v>
      </c>
      <c r="M13" s="36">
        <v>593</v>
      </c>
      <c r="N13" s="36">
        <v>3100</v>
      </c>
      <c r="O13" s="34">
        <v>26.64516129032258</v>
      </c>
      <c r="P13" s="34">
        <f t="shared" si="5"/>
        <v>1.4882352941176471</v>
      </c>
      <c r="Q13" s="34">
        <f t="shared" si="6"/>
        <v>1.3133027522935781</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row>
    <row r="14" spans="1:46" x14ac:dyDescent="0.3">
      <c r="B14" s="42">
        <v>40330</v>
      </c>
      <c r="C14" s="37">
        <f t="shared" si="3"/>
        <v>30.710483057125899</v>
      </c>
      <c r="D14" s="37">
        <f t="shared" si="4"/>
        <v>29.306116498093761</v>
      </c>
      <c r="E14" s="35"/>
      <c r="F14" s="38">
        <v>3350</v>
      </c>
      <c r="G14" s="38">
        <v>2000</v>
      </c>
      <c r="H14" s="37">
        <f t="shared" si="0"/>
        <v>15.355398806294085</v>
      </c>
      <c r="I14" s="37">
        <f t="shared" si="1"/>
        <v>0.70956186277211353</v>
      </c>
      <c r="J14" s="37">
        <f t="shared" si="2"/>
        <v>14.645522388059701</v>
      </c>
      <c r="K14" s="35"/>
      <c r="L14" s="38">
        <v>2800</v>
      </c>
      <c r="M14" s="38">
        <v>573</v>
      </c>
      <c r="N14" s="38">
        <v>3050</v>
      </c>
      <c r="O14" s="37">
        <v>26.64516129032258</v>
      </c>
      <c r="P14" s="37">
        <f t="shared" si="5"/>
        <v>1.3705882352941177</v>
      </c>
      <c r="Q14" s="37">
        <f t="shared" si="6"/>
        <v>1.2903669724770641</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46" x14ac:dyDescent="0.3">
      <c r="B15" s="41">
        <v>40360</v>
      </c>
      <c r="C15" s="34">
        <f t="shared" si="3"/>
        <v>29.974468526236521</v>
      </c>
      <c r="D15" s="34">
        <f t="shared" si="4"/>
        <v>28.765533659453716</v>
      </c>
      <c r="E15" s="35"/>
      <c r="F15" s="36">
        <v>3300</v>
      </c>
      <c r="G15" s="36">
        <v>1950</v>
      </c>
      <c r="H15" s="34">
        <f t="shared" si="0"/>
        <v>15.108765352932473</v>
      </c>
      <c r="I15" s="34">
        <f t="shared" si="1"/>
        <v>0.68659869569210985</v>
      </c>
      <c r="J15" s="34">
        <f t="shared" si="2"/>
        <v>14.17910447761194</v>
      </c>
      <c r="K15" s="35"/>
      <c r="L15" s="36">
        <v>2800</v>
      </c>
      <c r="M15" s="36">
        <v>485</v>
      </c>
      <c r="N15" s="36">
        <v>3000</v>
      </c>
      <c r="O15" s="34">
        <v>26.64516129032258</v>
      </c>
      <c r="P15" s="34">
        <f t="shared" si="5"/>
        <v>0.8529411764705882</v>
      </c>
      <c r="Q15" s="34">
        <f t="shared" si="6"/>
        <v>1.2674311926605504</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46" x14ac:dyDescent="0.3">
      <c r="B16" s="42">
        <v>40391</v>
      </c>
      <c r="C16" s="37">
        <f t="shared" si="3"/>
        <v>29.485087448708757</v>
      </c>
      <c r="D16" s="37">
        <f t="shared" si="4"/>
        <v>29.112592482983128</v>
      </c>
      <c r="E16" s="35"/>
      <c r="F16" s="38">
        <v>3300</v>
      </c>
      <c r="G16" s="38">
        <v>1900</v>
      </c>
      <c r="H16" s="37">
        <f t="shared" si="0"/>
        <v>15.108765352932473</v>
      </c>
      <c r="I16" s="37">
        <f t="shared" si="1"/>
        <v>0.66363552861210617</v>
      </c>
      <c r="J16" s="37">
        <f t="shared" si="2"/>
        <v>13.712686567164178</v>
      </c>
      <c r="K16" s="35"/>
      <c r="L16" s="38">
        <v>2800</v>
      </c>
      <c r="M16" s="38">
        <v>544</v>
      </c>
      <c r="N16" s="38">
        <v>3000</v>
      </c>
      <c r="O16" s="37">
        <v>26.64516129032258</v>
      </c>
      <c r="P16" s="37">
        <f t="shared" si="5"/>
        <v>1.2</v>
      </c>
      <c r="Q16" s="37">
        <f t="shared" si="6"/>
        <v>1.2674311926605504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row>
    <row r="17" spans="2:45" x14ac:dyDescent="0.3">
      <c r="B17" s="41">
        <v>40422</v>
      </c>
      <c r="C17" s="34">
        <f t="shared" si="3"/>
        <v>29.72783507287491</v>
      </c>
      <c r="D17" s="34">
        <f t="shared" si="4"/>
        <v>29.175551706329173</v>
      </c>
      <c r="E17" s="35"/>
      <c r="F17" s="36">
        <v>3250</v>
      </c>
      <c r="G17" s="36">
        <v>1950</v>
      </c>
      <c r="H17" s="34">
        <f t="shared" si="0"/>
        <v>14.862131899570858</v>
      </c>
      <c r="I17" s="34">
        <f t="shared" si="1"/>
        <v>0.68659869569210985</v>
      </c>
      <c r="J17" s="34">
        <f t="shared" si="2"/>
        <v>14.17910447761194</v>
      </c>
      <c r="K17" s="35"/>
      <c r="L17" s="36">
        <v>2750</v>
      </c>
      <c r="M17" s="36">
        <v>650</v>
      </c>
      <c r="N17" s="36">
        <v>2950</v>
      </c>
      <c r="O17" s="34">
        <v>26.107526881720432</v>
      </c>
      <c r="P17" s="34">
        <f t="shared" si="5"/>
        <v>1.8235294117647058</v>
      </c>
      <c r="Q17" s="34">
        <f t="shared" si="6"/>
        <v>1.2444954128440366</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row>
    <row r="18" spans="2:45" x14ac:dyDescent="0.3">
      <c r="B18" s="42">
        <v>40452</v>
      </c>
      <c r="C18" s="37">
        <f t="shared" si="3"/>
        <v>29.72783507287491</v>
      </c>
      <c r="D18" s="37">
        <f t="shared" si="4"/>
        <v>28.752022294564465</v>
      </c>
      <c r="E18" s="35"/>
      <c r="F18" s="38">
        <v>3250</v>
      </c>
      <c r="G18" s="38">
        <v>1950</v>
      </c>
      <c r="H18" s="37">
        <f t="shared" si="0"/>
        <v>14.862131899570858</v>
      </c>
      <c r="I18" s="37">
        <f t="shared" si="1"/>
        <v>0.68659869569210985</v>
      </c>
      <c r="J18" s="37">
        <f t="shared" si="2"/>
        <v>14.17910447761194</v>
      </c>
      <c r="K18" s="35"/>
      <c r="L18" s="38">
        <v>2750</v>
      </c>
      <c r="M18" s="38">
        <v>578</v>
      </c>
      <c r="N18" s="38">
        <v>2950</v>
      </c>
      <c r="O18" s="37">
        <v>26.107526881720432</v>
      </c>
      <c r="P18" s="37">
        <f t="shared" si="5"/>
        <v>1.4</v>
      </c>
      <c r="Q18" s="37">
        <f t="shared" si="6"/>
        <v>1.2444954128440366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spans="2:45" x14ac:dyDescent="0.3">
      <c r="B19" s="41">
        <v>40483</v>
      </c>
      <c r="C19" s="34">
        <f t="shared" si="3"/>
        <v>27.958291535384028</v>
      </c>
      <c r="D19" s="34">
        <f t="shared" si="4"/>
        <v>28.695573292945472</v>
      </c>
      <c r="E19" s="35"/>
      <c r="F19" s="36">
        <v>3050</v>
      </c>
      <c r="G19" s="36">
        <v>1870</v>
      </c>
      <c r="H19" s="34">
        <f t="shared" si="0"/>
        <v>13.875598086124402</v>
      </c>
      <c r="I19" s="34">
        <f t="shared" si="1"/>
        <v>0.64985762836410399</v>
      </c>
      <c r="J19" s="34">
        <f t="shared" si="2"/>
        <v>13.432835820895523</v>
      </c>
      <c r="K19" s="35"/>
      <c r="L19" s="36">
        <v>2750</v>
      </c>
      <c r="M19" s="36">
        <v>584</v>
      </c>
      <c r="N19" s="36">
        <v>2750</v>
      </c>
      <c r="O19" s="34">
        <v>26.107526881720432</v>
      </c>
      <c r="P19" s="34">
        <f t="shared" si="5"/>
        <v>1.4352941176470588</v>
      </c>
      <c r="Q19" s="34">
        <f t="shared" si="6"/>
        <v>1.1527522935779817</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spans="2:45" x14ac:dyDescent="0.3">
      <c r="B20" s="42">
        <v>40513</v>
      </c>
      <c r="C20" s="37">
        <f t="shared" si="3"/>
        <v>28.005286728539073</v>
      </c>
      <c r="D20" s="37">
        <f t="shared" si="4"/>
        <v>28.813813983717196</v>
      </c>
      <c r="E20" s="35"/>
      <c r="F20" s="38">
        <v>3000</v>
      </c>
      <c r="G20" s="38">
        <v>1900</v>
      </c>
      <c r="H20" s="37">
        <f t="shared" si="0"/>
        <v>13.628964632762788</v>
      </c>
      <c r="I20" s="37">
        <f t="shared" si="1"/>
        <v>0.66363552861210617</v>
      </c>
      <c r="J20" s="37">
        <f t="shared" si="2"/>
        <v>13.712686567164178</v>
      </c>
      <c r="K20" s="35"/>
      <c r="L20" s="38">
        <v>2750</v>
      </c>
      <c r="M20" s="38">
        <v>608</v>
      </c>
      <c r="N20" s="38">
        <v>2700</v>
      </c>
      <c r="O20" s="37">
        <v>26.107526881720432</v>
      </c>
      <c r="P20" s="37">
        <f t="shared" si="5"/>
        <v>1.5764705882352941</v>
      </c>
      <c r="Q20" s="37">
        <f t="shared" si="6"/>
        <v>1.129816513761468</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spans="2:45" x14ac:dyDescent="0.3">
      <c r="B21" s="41">
        <v>40544</v>
      </c>
      <c r="C21" s="34">
        <f t="shared" si="3"/>
        <v>29.481201619513293</v>
      </c>
      <c r="D21" s="34">
        <f t="shared" si="4"/>
        <v>29.470262985336191</v>
      </c>
      <c r="E21" s="35"/>
      <c r="F21" s="36">
        <v>3200</v>
      </c>
      <c r="G21" s="36">
        <v>1950</v>
      </c>
      <c r="H21" s="34">
        <f t="shared" si="0"/>
        <v>14.615498446209244</v>
      </c>
      <c r="I21" s="34">
        <f t="shared" si="1"/>
        <v>0.68659869569210985</v>
      </c>
      <c r="J21" s="34">
        <f t="shared" si="2"/>
        <v>14.17910447761194</v>
      </c>
      <c r="K21" s="35"/>
      <c r="L21" s="36">
        <v>2750</v>
      </c>
      <c r="M21" s="36">
        <v>704</v>
      </c>
      <c r="N21" s="36">
        <v>2900</v>
      </c>
      <c r="O21" s="34">
        <v>26.107526881720432</v>
      </c>
      <c r="P21" s="34">
        <f t="shared" si="5"/>
        <v>2.1411764705882352</v>
      </c>
      <c r="Q21" s="34">
        <f t="shared" si="6"/>
        <v>1.2215596330275229</v>
      </c>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2:45" x14ac:dyDescent="0.3">
      <c r="B22" s="42">
        <v>40575</v>
      </c>
      <c r="C22" s="37">
        <f t="shared" si="3"/>
        <v>32.429145572266272</v>
      </c>
      <c r="D22" s="37">
        <f t="shared" si="4"/>
        <v>31.924322952027808</v>
      </c>
      <c r="E22" s="35"/>
      <c r="F22" s="38">
        <v>3500</v>
      </c>
      <c r="G22" s="38">
        <v>2100</v>
      </c>
      <c r="H22" s="37">
        <f t="shared" si="0"/>
        <v>16.095299166378929</v>
      </c>
      <c r="I22" s="37">
        <f t="shared" si="1"/>
        <v>0.75548819693212088</v>
      </c>
      <c r="J22" s="37">
        <f t="shared" si="2"/>
        <v>15.578358208955224</v>
      </c>
      <c r="K22" s="39"/>
      <c r="L22" s="38">
        <v>2850</v>
      </c>
      <c r="M22" s="38">
        <v>915</v>
      </c>
      <c r="N22" s="38">
        <v>3200</v>
      </c>
      <c r="O22" s="37">
        <v>27.182795698924732</v>
      </c>
      <c r="P22" s="37">
        <f t="shared" si="5"/>
        <v>3.3823529411764706</v>
      </c>
      <c r="Q22" s="37">
        <f t="shared" si="6"/>
        <v>1.3591743119266055</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2:45" x14ac:dyDescent="0.3">
      <c r="B23" s="41">
        <v>40603</v>
      </c>
      <c r="C23" s="34">
        <f t="shared" si="3"/>
        <v>32.425259743070811</v>
      </c>
      <c r="D23" s="34">
        <f t="shared" si="4"/>
        <v>31.700779033128491</v>
      </c>
      <c r="E23" s="35"/>
      <c r="F23" s="36">
        <v>3400</v>
      </c>
      <c r="G23" s="36">
        <v>2150</v>
      </c>
      <c r="H23" s="34">
        <f t="shared" si="0"/>
        <v>15.602032259655699</v>
      </c>
      <c r="I23" s="34">
        <f t="shared" si="1"/>
        <v>0.77845136401212456</v>
      </c>
      <c r="J23" s="34">
        <f t="shared" si="2"/>
        <v>16.044776119402986</v>
      </c>
      <c r="K23" s="39"/>
      <c r="L23" s="36">
        <v>2950</v>
      </c>
      <c r="M23" s="36">
        <v>702</v>
      </c>
      <c r="N23" s="36">
        <v>3100</v>
      </c>
      <c r="O23" s="34">
        <v>28.258064516129032</v>
      </c>
      <c r="P23" s="34">
        <f t="shared" si="5"/>
        <v>2.1294117647058823</v>
      </c>
      <c r="Q23" s="34">
        <f t="shared" si="6"/>
        <v>1.3133027522935781</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spans="2:45" x14ac:dyDescent="0.3">
      <c r="B24" s="42">
        <v>40634</v>
      </c>
      <c r="C24" s="37">
        <f t="shared" si="3"/>
        <v>32.174740460513732</v>
      </c>
      <c r="D24" s="37">
        <f t="shared" si="4"/>
        <v>31.223749049782679</v>
      </c>
      <c r="E24" s="35"/>
      <c r="F24" s="38">
        <v>3250</v>
      </c>
      <c r="G24" s="38">
        <v>2200</v>
      </c>
      <c r="H24" s="37">
        <f t="shared" si="0"/>
        <v>14.862131899570858</v>
      </c>
      <c r="I24" s="37">
        <f t="shared" si="1"/>
        <v>0.80141453109212824</v>
      </c>
      <c r="J24" s="37">
        <f t="shared" si="2"/>
        <v>16.511194029850746</v>
      </c>
      <c r="K24" s="35"/>
      <c r="L24" s="38">
        <v>2900</v>
      </c>
      <c r="M24" s="38">
        <v>724</v>
      </c>
      <c r="N24" s="38">
        <v>2950</v>
      </c>
      <c r="O24" s="37">
        <v>27.72043010752688</v>
      </c>
      <c r="P24" s="37">
        <f t="shared" si="5"/>
        <v>2.2588235294117647</v>
      </c>
      <c r="Q24" s="37">
        <f t="shared" si="6"/>
        <v>1.2444954128440366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spans="2:45" x14ac:dyDescent="0.3">
      <c r="B25" s="41">
        <v>40664</v>
      </c>
      <c r="C25" s="34">
        <f t="shared" si="3"/>
        <v>33.650655351487956</v>
      </c>
      <c r="D25" s="34">
        <f t="shared" si="4"/>
        <v>31.888420695297945</v>
      </c>
      <c r="E25" s="35"/>
      <c r="F25" s="36">
        <v>3450</v>
      </c>
      <c r="G25" s="36">
        <v>2250</v>
      </c>
      <c r="H25" s="34">
        <f t="shared" si="0"/>
        <v>15.848665713017313</v>
      </c>
      <c r="I25" s="34">
        <f t="shared" si="1"/>
        <v>0.82437769817213191</v>
      </c>
      <c r="J25" s="34">
        <f t="shared" si="2"/>
        <v>16.977611940298509</v>
      </c>
      <c r="K25" s="35"/>
      <c r="L25" s="36">
        <v>2950</v>
      </c>
      <c r="M25" s="36">
        <v>730</v>
      </c>
      <c r="N25" s="36">
        <v>3150</v>
      </c>
      <c r="O25" s="34">
        <v>28.258064516129032</v>
      </c>
      <c r="P25" s="34">
        <f t="shared" si="5"/>
        <v>2.2941176470588234</v>
      </c>
      <c r="Q25" s="34">
        <f t="shared" si="6"/>
        <v>1.3362385321100918</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spans="2:45" x14ac:dyDescent="0.3">
      <c r="B26" s="42">
        <v>40695</v>
      </c>
      <c r="C26" s="37">
        <f t="shared" si="3"/>
        <v>35.377089525019251</v>
      </c>
      <c r="D26" s="37">
        <f t="shared" si="4"/>
        <v>32.125441742248839</v>
      </c>
      <c r="E26" s="35"/>
      <c r="F26" s="38">
        <v>3800</v>
      </c>
      <c r="G26" s="38">
        <v>2250</v>
      </c>
      <c r="H26" s="37">
        <f t="shared" si="0"/>
        <v>17.57509988654861</v>
      </c>
      <c r="I26" s="37">
        <f t="shared" si="1"/>
        <v>0.82437769817213191</v>
      </c>
      <c r="J26" s="37">
        <f t="shared" si="2"/>
        <v>16.977611940298509</v>
      </c>
      <c r="K26" s="35"/>
      <c r="L26" s="38">
        <v>2950</v>
      </c>
      <c r="M26" s="38">
        <v>743</v>
      </c>
      <c r="N26" s="38">
        <v>3500</v>
      </c>
      <c r="O26" s="37">
        <v>28.258064516129032</v>
      </c>
      <c r="P26" s="37">
        <f t="shared" si="5"/>
        <v>2.3705882352941177</v>
      </c>
      <c r="Q26" s="37">
        <f t="shared" si="6"/>
        <v>1.4967889908256882</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2:45" x14ac:dyDescent="0.3">
      <c r="B27" s="41">
        <v>40725</v>
      </c>
      <c r="C27" s="34">
        <f t="shared" si="3"/>
        <v>33.901174634045027</v>
      </c>
      <c r="D27" s="34">
        <f t="shared" si="4"/>
        <v>31.937809944930915</v>
      </c>
      <c r="E27" s="35"/>
      <c r="F27" s="36">
        <v>3600</v>
      </c>
      <c r="G27" s="36">
        <v>2200</v>
      </c>
      <c r="H27" s="34">
        <f t="shared" si="0"/>
        <v>16.588566073102154</v>
      </c>
      <c r="I27" s="34">
        <f t="shared" si="1"/>
        <v>0.80141453109212824</v>
      </c>
      <c r="J27" s="34">
        <f t="shared" si="2"/>
        <v>16.511194029850746</v>
      </c>
      <c r="K27" s="35"/>
      <c r="L27" s="36">
        <v>2975</v>
      </c>
      <c r="M27" s="36">
        <v>681</v>
      </c>
      <c r="N27" s="36">
        <v>3300</v>
      </c>
      <c r="O27" s="34">
        <v>28.526881720430108</v>
      </c>
      <c r="P27" s="34">
        <f t="shared" si="5"/>
        <v>2.0058823529411764</v>
      </c>
      <c r="Q27" s="34">
        <f t="shared" si="6"/>
        <v>1.405045871559633</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row r="28" spans="2:45" x14ac:dyDescent="0.3">
      <c r="B28" s="42">
        <v>40756</v>
      </c>
      <c r="C28" s="37">
        <f t="shared" si="3"/>
        <v>32.429145572266272</v>
      </c>
      <c r="D28" s="37">
        <f t="shared" si="4"/>
        <v>31.897820738239066</v>
      </c>
      <c r="E28" s="35"/>
      <c r="F28" s="38">
        <v>3500</v>
      </c>
      <c r="G28" s="38">
        <v>2100</v>
      </c>
      <c r="H28" s="37">
        <f t="shared" si="0"/>
        <v>16.095299166378929</v>
      </c>
      <c r="I28" s="37">
        <f t="shared" si="1"/>
        <v>0.75548819693212088</v>
      </c>
      <c r="J28" s="37">
        <f t="shared" si="2"/>
        <v>15.578358208955224</v>
      </c>
      <c r="K28" s="35"/>
      <c r="L28" s="38">
        <v>2975</v>
      </c>
      <c r="M28" s="38">
        <v>682</v>
      </c>
      <c r="N28" s="38">
        <v>3200</v>
      </c>
      <c r="O28" s="37">
        <v>28.526881720430108</v>
      </c>
      <c r="P28" s="37">
        <f t="shared" si="5"/>
        <v>2.0117647058823529</v>
      </c>
      <c r="Q28" s="37">
        <f t="shared" si="6"/>
        <v>1.3591743119266055</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2:45" ht="14.15" customHeight="1" x14ac:dyDescent="0.3">
      <c r="B29" s="41">
        <v>40787</v>
      </c>
      <c r="C29" s="34">
        <f t="shared" si="3"/>
        <v>33.411793556517267</v>
      </c>
      <c r="D29" s="34">
        <f t="shared" si="4"/>
        <v>32.143692297872093</v>
      </c>
      <c r="E29" s="35"/>
      <c r="F29" s="36">
        <v>3600</v>
      </c>
      <c r="G29" s="36">
        <v>2150</v>
      </c>
      <c r="H29" s="34">
        <f t="shared" si="0"/>
        <v>16.588566073102154</v>
      </c>
      <c r="I29" s="34">
        <f t="shared" si="1"/>
        <v>0.77845136401212456</v>
      </c>
      <c r="J29" s="34">
        <f t="shared" si="2"/>
        <v>16.044776119402986</v>
      </c>
      <c r="K29" s="35"/>
      <c r="L29" s="36">
        <v>2975</v>
      </c>
      <c r="M29" s="36">
        <v>716</v>
      </c>
      <c r="N29" s="36">
        <v>3300</v>
      </c>
      <c r="O29" s="34">
        <v>28.526881720430108</v>
      </c>
      <c r="P29" s="34">
        <f t="shared" si="5"/>
        <v>2.2117647058823531</v>
      </c>
      <c r="Q29" s="34">
        <f t="shared" si="6"/>
        <v>1.405045871559633</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row>
    <row r="30" spans="2:45" ht="16" customHeight="1" x14ac:dyDescent="0.3">
      <c r="B30" s="42">
        <v>40817</v>
      </c>
      <c r="C30" s="37">
        <f t="shared" si="3"/>
        <v>32.918526649794039</v>
      </c>
      <c r="D30" s="37">
        <f t="shared" si="4"/>
        <v>31.642539270813383</v>
      </c>
      <c r="E30" s="35"/>
      <c r="F30" s="38">
        <v>3500</v>
      </c>
      <c r="G30" s="38">
        <v>2150</v>
      </c>
      <c r="H30" s="37">
        <f t="shared" si="0"/>
        <v>16.095299166378929</v>
      </c>
      <c r="I30" s="37">
        <f t="shared" si="1"/>
        <v>0.77845136401212456</v>
      </c>
      <c r="J30" s="37">
        <f t="shared" si="2"/>
        <v>16.044776119402986</v>
      </c>
      <c r="K30" s="35"/>
      <c r="L30" s="38">
        <v>2925</v>
      </c>
      <c r="M30" s="38">
        <v>730</v>
      </c>
      <c r="N30" s="38">
        <v>3200</v>
      </c>
      <c r="O30" s="37">
        <v>27.989247311827956</v>
      </c>
      <c r="P30" s="37">
        <f t="shared" si="5"/>
        <v>2.2941176470588234</v>
      </c>
      <c r="Q30" s="37">
        <f t="shared" si="6"/>
        <v>1.3591743119266055</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row>
    <row r="31" spans="2:45" ht="16" customHeight="1" x14ac:dyDescent="0.3">
      <c r="B31" s="41">
        <v>40848</v>
      </c>
      <c r="C31" s="34">
        <f t="shared" si="3"/>
        <v>31.19209247626274</v>
      </c>
      <c r="D31" s="34">
        <f t="shared" si="4"/>
        <v>31.83492998856838</v>
      </c>
      <c r="E31" s="35"/>
      <c r="F31" s="36">
        <v>3150</v>
      </c>
      <c r="G31" s="36">
        <v>2150</v>
      </c>
      <c r="H31" s="34">
        <f t="shared" si="0"/>
        <v>14.36886499284763</v>
      </c>
      <c r="I31" s="34">
        <f t="shared" si="1"/>
        <v>0.77845136401212456</v>
      </c>
      <c r="J31" s="34">
        <f t="shared" si="2"/>
        <v>16.044776119402986</v>
      </c>
      <c r="K31" s="35"/>
      <c r="L31" s="36">
        <v>2925</v>
      </c>
      <c r="M31" s="36">
        <v>790</v>
      </c>
      <c r="N31" s="36">
        <v>2850</v>
      </c>
      <c r="O31" s="34">
        <v>27.989247311827956</v>
      </c>
      <c r="P31" s="34">
        <f t="shared" si="5"/>
        <v>2.6470588235294117</v>
      </c>
      <c r="Q31" s="34">
        <f t="shared" si="6"/>
        <v>1.1986238532110092</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row>
    <row r="32" spans="2:45" ht="16" customHeight="1" x14ac:dyDescent="0.3">
      <c r="B32" s="42">
        <v>40878</v>
      </c>
      <c r="C32" s="37">
        <f t="shared" si="3"/>
        <v>29.962811038650131</v>
      </c>
      <c r="D32" s="37">
        <f t="shared" si="4"/>
        <v>31.936710884412953</v>
      </c>
      <c r="E32" s="35"/>
      <c r="F32" s="38">
        <v>3000</v>
      </c>
      <c r="G32" s="38">
        <v>2100</v>
      </c>
      <c r="H32" s="37">
        <f t="shared" si="0"/>
        <v>13.628964632762788</v>
      </c>
      <c r="I32" s="37">
        <f t="shared" si="1"/>
        <v>0.75548819693212088</v>
      </c>
      <c r="J32" s="37">
        <f t="shared" si="2"/>
        <v>15.578358208955224</v>
      </c>
      <c r="K32" s="35"/>
      <c r="L32" s="38">
        <v>2925</v>
      </c>
      <c r="M32" s="38">
        <v>819</v>
      </c>
      <c r="N32" s="38">
        <v>2700</v>
      </c>
      <c r="O32" s="37">
        <v>27.989247311827956</v>
      </c>
      <c r="P32" s="37">
        <f t="shared" si="5"/>
        <v>2.8176470588235296</v>
      </c>
      <c r="Q32" s="37">
        <f t="shared" si="6"/>
        <v>1.129816513761468</v>
      </c>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x14ac:dyDescent="0.3">
      <c r="B33" s="41">
        <v>40909</v>
      </c>
      <c r="C33" s="34">
        <f t="shared" si="3"/>
        <v>28.980163054399142</v>
      </c>
      <c r="D33" s="34">
        <f t="shared" si="4"/>
        <v>31.908486383603456</v>
      </c>
      <c r="E33" s="35"/>
      <c r="F33" s="36">
        <v>2900</v>
      </c>
      <c r="G33" s="36">
        <v>2050</v>
      </c>
      <c r="H33" s="34">
        <f t="shared" si="0"/>
        <v>13.13569772603956</v>
      </c>
      <c r="I33" s="34">
        <f t="shared" si="1"/>
        <v>0.7325250298521172</v>
      </c>
      <c r="J33" s="34">
        <f t="shared" si="2"/>
        <v>15.111940298507463</v>
      </c>
      <c r="K33" s="35"/>
      <c r="L33" s="36">
        <v>2925</v>
      </c>
      <c r="M33" s="36">
        <v>822</v>
      </c>
      <c r="N33" s="36">
        <v>2600</v>
      </c>
      <c r="O33" s="34">
        <v>27.989247311827956</v>
      </c>
      <c r="P33" s="34">
        <f t="shared" si="5"/>
        <v>2.835294117647059</v>
      </c>
      <c r="Q33" s="34">
        <f t="shared" si="6"/>
        <v>1.0839449541284403</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row>
    <row r="34" spans="1:45" ht="16" customHeight="1" x14ac:dyDescent="0.3">
      <c r="B34" s="42">
        <v>40940</v>
      </c>
      <c r="C34" s="37">
        <f t="shared" si="3"/>
        <v>27.997515070148147</v>
      </c>
      <c r="D34" s="37">
        <f t="shared" si="4"/>
        <v>31.503791294558663</v>
      </c>
      <c r="E34" s="35"/>
      <c r="F34" s="38">
        <v>2800</v>
      </c>
      <c r="G34" s="38">
        <v>2000</v>
      </c>
      <c r="H34" s="37">
        <f t="shared" si="0"/>
        <v>12.642430819316331</v>
      </c>
      <c r="I34" s="37">
        <f t="shared" si="1"/>
        <v>0.70956186277211353</v>
      </c>
      <c r="J34" s="37">
        <f t="shared" si="2"/>
        <v>14.645522388059701</v>
      </c>
      <c r="K34" s="35"/>
      <c r="L34" s="38">
        <v>2925</v>
      </c>
      <c r="M34" s="38">
        <v>761</v>
      </c>
      <c r="N34" s="38">
        <v>2500</v>
      </c>
      <c r="O34" s="37">
        <v>27.989247311827956</v>
      </c>
      <c r="P34" s="37">
        <f t="shared" si="5"/>
        <v>2.4764705882352942</v>
      </c>
      <c r="Q34" s="37">
        <f t="shared" si="6"/>
        <v>1.0380733944954128</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row>
    <row r="35" spans="1:45" s="23" customFormat="1" x14ac:dyDescent="0.3">
      <c r="A35" s="22"/>
      <c r="B35" s="41">
        <v>40969</v>
      </c>
      <c r="C35" s="34">
        <f t="shared" si="3"/>
        <v>24.066923133144176</v>
      </c>
      <c r="D35" s="34">
        <f t="shared" si="4"/>
        <v>30.926187408967728</v>
      </c>
      <c r="E35" s="35"/>
      <c r="F35" s="36">
        <v>2400</v>
      </c>
      <c r="G35" s="36">
        <v>1800</v>
      </c>
      <c r="H35" s="34">
        <f t="shared" si="0"/>
        <v>10.66936319242342</v>
      </c>
      <c r="I35" s="34">
        <f t="shared" si="1"/>
        <v>0.61770919445209882</v>
      </c>
      <c r="J35" s="34">
        <f t="shared" si="2"/>
        <v>12.779850746268657</v>
      </c>
      <c r="K35" s="39"/>
      <c r="L35" s="36">
        <v>2925</v>
      </c>
      <c r="M35" s="36">
        <v>694</v>
      </c>
      <c r="N35" s="36">
        <v>2100</v>
      </c>
      <c r="O35" s="34">
        <v>27.989247311827956</v>
      </c>
      <c r="P35" s="34">
        <f t="shared" si="5"/>
        <v>2.0823529411764707</v>
      </c>
      <c r="Q35" s="34">
        <f t="shared" si="6"/>
        <v>0.8545871559633027</v>
      </c>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3">
      <c r="B36" s="42">
        <v>41000</v>
      </c>
      <c r="C36" s="37">
        <f t="shared" si="3"/>
        <v>22.101627164642188</v>
      </c>
      <c r="D36" s="37">
        <f t="shared" si="4"/>
        <v>30.649599583819324</v>
      </c>
      <c r="E36" s="35"/>
      <c r="F36" s="38">
        <v>2200</v>
      </c>
      <c r="G36" s="38">
        <v>1700</v>
      </c>
      <c r="H36" s="37">
        <f t="shared" si="0"/>
        <v>9.6828293789769653</v>
      </c>
      <c r="I36" s="37">
        <f t="shared" si="1"/>
        <v>0.57178286029209147</v>
      </c>
      <c r="J36" s="37">
        <f t="shared" si="2"/>
        <v>11.847014925373134</v>
      </c>
      <c r="K36" s="35"/>
      <c r="L36" s="38">
        <v>2925</v>
      </c>
      <c r="M36" s="38">
        <v>662.57640000000004</v>
      </c>
      <c r="N36" s="38">
        <v>1900</v>
      </c>
      <c r="O36" s="37">
        <v>27.989247311827956</v>
      </c>
      <c r="P36" s="37">
        <f t="shared" si="5"/>
        <v>1.8975082352941177</v>
      </c>
      <c r="Q36" s="37">
        <f t="shared" si="6"/>
        <v>0.76284403669724765</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row>
    <row r="37" spans="1:45" x14ac:dyDescent="0.3">
      <c r="B37" s="41">
        <v>41030</v>
      </c>
      <c r="C37" s="34">
        <f t="shared" si="3"/>
        <v>21.854993711280578</v>
      </c>
      <c r="D37" s="34">
        <f t="shared" si="4"/>
        <v>29.932697630694779</v>
      </c>
      <c r="E37" s="35"/>
      <c r="F37" s="36">
        <v>2150</v>
      </c>
      <c r="G37" s="36">
        <v>1700</v>
      </c>
      <c r="H37" s="34">
        <f t="shared" si="0"/>
        <v>9.4361959256153511</v>
      </c>
      <c r="I37" s="34">
        <f t="shared" si="1"/>
        <v>0.57178286029209147</v>
      </c>
      <c r="J37" s="34">
        <f t="shared" si="2"/>
        <v>11.847014925373134</v>
      </c>
      <c r="K37" s="35"/>
      <c r="L37" s="36">
        <v>2875</v>
      </c>
      <c r="M37" s="36">
        <v>636</v>
      </c>
      <c r="N37" s="36">
        <v>1850</v>
      </c>
      <c r="O37" s="34">
        <v>27.451612903225808</v>
      </c>
      <c r="P37" s="34">
        <f t="shared" si="5"/>
        <v>1.7411764705882353</v>
      </c>
      <c r="Q37" s="34">
        <f t="shared" si="6"/>
        <v>0.73990825688073392</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1:45" x14ac:dyDescent="0.3">
      <c r="B38" s="42">
        <v>41061</v>
      </c>
      <c r="C38" s="37">
        <f t="shared" si="3"/>
        <v>23.327022773059333</v>
      </c>
      <c r="D38" s="37">
        <f t="shared" si="4"/>
        <v>29.862693162497319</v>
      </c>
      <c r="E38" s="35"/>
      <c r="F38" s="38">
        <v>2250</v>
      </c>
      <c r="G38" s="38">
        <v>1800</v>
      </c>
      <c r="H38" s="37">
        <f t="shared" si="0"/>
        <v>9.9294628323385776</v>
      </c>
      <c r="I38" s="37">
        <f t="shared" si="1"/>
        <v>0.61770919445209882</v>
      </c>
      <c r="J38" s="37">
        <f t="shared" si="2"/>
        <v>12.779850746268657</v>
      </c>
      <c r="K38" s="35"/>
      <c r="L38" s="38">
        <v>2850</v>
      </c>
      <c r="M38" s="38">
        <v>662</v>
      </c>
      <c r="N38" s="38">
        <v>1950</v>
      </c>
      <c r="O38" s="37">
        <v>27.182795698924732</v>
      </c>
      <c r="P38" s="37">
        <f t="shared" si="5"/>
        <v>1.8941176470588235</v>
      </c>
      <c r="Q38" s="37">
        <f t="shared" si="6"/>
        <v>0.7857798165137615</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row>
    <row r="39" spans="1:45" x14ac:dyDescent="0.3">
      <c r="B39" s="41">
        <v>41091</v>
      </c>
      <c r="C39" s="34">
        <f t="shared" si="3"/>
        <v>23.203706046378528</v>
      </c>
      <c r="D39" s="34">
        <f t="shared" si="4"/>
        <v>30.233578213765533</v>
      </c>
      <c r="E39" s="35"/>
      <c r="F39" s="36">
        <v>2225</v>
      </c>
      <c r="G39" s="36">
        <v>1800</v>
      </c>
      <c r="H39" s="34">
        <f t="shared" si="0"/>
        <v>9.8061461056577706</v>
      </c>
      <c r="I39" s="34">
        <f t="shared" si="1"/>
        <v>0.61770919445209882</v>
      </c>
      <c r="J39" s="34">
        <f t="shared" si="2"/>
        <v>12.779850746268657</v>
      </c>
      <c r="K39" s="35"/>
      <c r="L39" s="36">
        <v>2850</v>
      </c>
      <c r="M39" s="36">
        <v>727</v>
      </c>
      <c r="N39" s="36">
        <v>1925</v>
      </c>
      <c r="O39" s="34">
        <v>27.182795698924732</v>
      </c>
      <c r="P39" s="34">
        <f t="shared" si="5"/>
        <v>2.276470588235294</v>
      </c>
      <c r="Q39" s="34">
        <f t="shared" si="6"/>
        <v>0.77431192660550463</v>
      </c>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row>
    <row r="40" spans="1:45" x14ac:dyDescent="0.3">
      <c r="B40" s="42">
        <v>41122</v>
      </c>
      <c r="C40" s="37">
        <f t="shared" si="3"/>
        <v>25.777813989893623</v>
      </c>
      <c r="D40" s="37">
        <f t="shared" si="4"/>
        <v>30.875610895438374</v>
      </c>
      <c r="E40" s="35"/>
      <c r="F40" s="38">
        <v>2350</v>
      </c>
      <c r="G40" s="38">
        <v>2000</v>
      </c>
      <c r="H40" s="37">
        <f t="shared" si="0"/>
        <v>10.422729739061806</v>
      </c>
      <c r="I40" s="37">
        <f t="shared" si="1"/>
        <v>0.70956186277211353</v>
      </c>
      <c r="J40" s="37">
        <f t="shared" si="2"/>
        <v>14.645522388059701</v>
      </c>
      <c r="K40" s="35"/>
      <c r="L40" s="38">
        <v>2900</v>
      </c>
      <c r="M40" s="38">
        <v>735</v>
      </c>
      <c r="N40" s="38">
        <v>2050</v>
      </c>
      <c r="O40" s="37">
        <v>27.72043010752688</v>
      </c>
      <c r="P40" s="37">
        <f t="shared" si="5"/>
        <v>2.3235294117647061</v>
      </c>
      <c r="Q40" s="37">
        <f t="shared" si="6"/>
        <v>0.83165137614678897</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row>
    <row r="41" spans="1:45" x14ac:dyDescent="0.3">
      <c r="B41" s="41">
        <v>41153</v>
      </c>
      <c r="C41" s="34">
        <f t="shared" si="3"/>
        <v>30.440534628591507</v>
      </c>
      <c r="D41" s="34">
        <f t="shared" si="4"/>
        <v>31.775566793749164</v>
      </c>
      <c r="E41" s="35"/>
      <c r="F41" s="36">
        <v>2700</v>
      </c>
      <c r="G41" s="36">
        <v>2300</v>
      </c>
      <c r="H41" s="34">
        <f t="shared" si="0"/>
        <v>12.149163912593105</v>
      </c>
      <c r="I41" s="34">
        <f t="shared" si="1"/>
        <v>0.84734086525213559</v>
      </c>
      <c r="J41" s="34">
        <f t="shared" si="2"/>
        <v>17.444029850746269</v>
      </c>
      <c r="K41" s="35"/>
      <c r="L41" s="36">
        <v>2925</v>
      </c>
      <c r="M41" s="36">
        <v>815</v>
      </c>
      <c r="N41" s="36">
        <v>2400</v>
      </c>
      <c r="O41" s="34">
        <v>27.989247311827956</v>
      </c>
      <c r="P41" s="34">
        <f t="shared" si="5"/>
        <v>2.7941176470588234</v>
      </c>
      <c r="Q41" s="34">
        <f t="shared" si="6"/>
        <v>0.99220183486238533</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row>
    <row r="42" spans="1:45" x14ac:dyDescent="0.3">
      <c r="B42" s="42">
        <v>41183</v>
      </c>
      <c r="C42" s="37">
        <f t="shared" si="3"/>
        <v>31.176549159480885</v>
      </c>
      <c r="D42" s="37">
        <f t="shared" si="4"/>
        <v>31.542255514742148</v>
      </c>
      <c r="E42" s="35"/>
      <c r="F42" s="38">
        <v>2750</v>
      </c>
      <c r="G42" s="38">
        <v>2350</v>
      </c>
      <c r="H42" s="37">
        <f t="shared" si="0"/>
        <v>12.395797365954719</v>
      </c>
      <c r="I42" s="37">
        <f t="shared" si="1"/>
        <v>0.87030403233213927</v>
      </c>
      <c r="J42" s="37">
        <f t="shared" si="2"/>
        <v>17.910447761194028</v>
      </c>
      <c r="K42" s="35"/>
      <c r="L42" s="38">
        <v>2925</v>
      </c>
      <c r="M42" s="38">
        <v>771.43799999999999</v>
      </c>
      <c r="N42" s="38">
        <v>2450</v>
      </c>
      <c r="O42" s="37">
        <v>27.989247311827956</v>
      </c>
      <c r="P42" s="37">
        <f t="shared" si="5"/>
        <v>2.5378705882352937</v>
      </c>
      <c r="Q42" s="37">
        <f t="shared" si="6"/>
        <v>1.0151376146788991</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row>
    <row r="43" spans="1:45" x14ac:dyDescent="0.3">
      <c r="B43" s="41">
        <v>41214</v>
      </c>
      <c r="C43" s="34">
        <f t="shared" si="3"/>
        <v>32.15919714373188</v>
      </c>
      <c r="D43" s="34">
        <f t="shared" si="4"/>
        <v>31.662021192022237</v>
      </c>
      <c r="E43" s="35"/>
      <c r="F43" s="36">
        <v>2850</v>
      </c>
      <c r="G43" s="36">
        <v>2400</v>
      </c>
      <c r="H43" s="34">
        <f t="shared" si="0"/>
        <v>12.889064272677945</v>
      </c>
      <c r="I43" s="34">
        <f t="shared" si="1"/>
        <v>0.89326719941214294</v>
      </c>
      <c r="J43" s="34">
        <f t="shared" si="2"/>
        <v>18.376865671641792</v>
      </c>
      <c r="K43" s="35"/>
      <c r="L43" s="36">
        <v>2925</v>
      </c>
      <c r="M43" s="36">
        <v>784</v>
      </c>
      <c r="N43" s="36">
        <v>2550</v>
      </c>
      <c r="O43" s="34">
        <v>27.989247311827956</v>
      </c>
      <c r="P43" s="34">
        <f t="shared" si="5"/>
        <v>2.611764705882353</v>
      </c>
      <c r="Q43" s="34">
        <f t="shared" si="6"/>
        <v>1.0610091743119265</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row>
    <row r="44" spans="1:45" x14ac:dyDescent="0.3">
      <c r="B44" s="42">
        <v>41244</v>
      </c>
      <c r="C44" s="37">
        <f t="shared" si="3"/>
        <v>30.933801535314736</v>
      </c>
      <c r="D44" s="37">
        <f t="shared" si="4"/>
        <v>31.850850118088076</v>
      </c>
      <c r="E44" s="35"/>
      <c r="F44" s="38">
        <v>2800</v>
      </c>
      <c r="G44" s="38">
        <v>2300</v>
      </c>
      <c r="H44" s="37">
        <f t="shared" si="0"/>
        <v>12.642430819316331</v>
      </c>
      <c r="I44" s="37">
        <f t="shared" si="1"/>
        <v>0.84734086525213559</v>
      </c>
      <c r="J44" s="37">
        <f t="shared" si="2"/>
        <v>17.444029850746269</v>
      </c>
      <c r="K44" s="35"/>
      <c r="L44" s="38">
        <v>2925</v>
      </c>
      <c r="M44" s="38">
        <v>820</v>
      </c>
      <c r="N44" s="38">
        <v>2500</v>
      </c>
      <c r="O44" s="37">
        <v>27.989247311827956</v>
      </c>
      <c r="P44" s="37">
        <f t="shared" si="5"/>
        <v>2.8235294117647061</v>
      </c>
      <c r="Q44" s="37">
        <f t="shared" si="6"/>
        <v>1.0380733944954128</v>
      </c>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x14ac:dyDescent="0.3">
      <c r="B45" s="41">
        <v>41275</v>
      </c>
      <c r="C45" s="34">
        <f t="shared" si="3"/>
        <v>31.423182612842499</v>
      </c>
      <c r="D45" s="34">
        <f t="shared" si="4"/>
        <v>32.470837467866694</v>
      </c>
      <c r="E45" s="35"/>
      <c r="F45" s="36">
        <v>2800</v>
      </c>
      <c r="G45" s="36">
        <v>2350</v>
      </c>
      <c r="H45" s="34">
        <f t="shared" si="0"/>
        <v>12.642430819316331</v>
      </c>
      <c r="I45" s="34">
        <f t="shared" si="1"/>
        <v>0.87030403233213927</v>
      </c>
      <c r="J45" s="34">
        <f t="shared" si="2"/>
        <v>17.910447761194028</v>
      </c>
      <c r="K45" s="35"/>
      <c r="L45" s="36">
        <v>2975</v>
      </c>
      <c r="M45" s="36">
        <v>834</v>
      </c>
      <c r="N45" s="36">
        <v>2500</v>
      </c>
      <c r="O45" s="34">
        <v>28.526881720430108</v>
      </c>
      <c r="P45" s="34">
        <f t="shared" si="5"/>
        <v>2.9058823529411764</v>
      </c>
      <c r="Q45" s="34">
        <f t="shared" si="6"/>
        <v>1.0380733944954128</v>
      </c>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x14ac:dyDescent="0.3">
      <c r="B46" s="42">
        <v>41306</v>
      </c>
      <c r="C46" s="37">
        <f t="shared" si="3"/>
        <v>31.669816066204113</v>
      </c>
      <c r="D46" s="37">
        <f t="shared" si="4"/>
        <v>32.261832071212623</v>
      </c>
      <c r="E46" s="35"/>
      <c r="F46" s="38">
        <v>2850</v>
      </c>
      <c r="G46" s="38">
        <v>2350</v>
      </c>
      <c r="H46" s="37">
        <f t="shared" si="0"/>
        <v>12.889064272677945</v>
      </c>
      <c r="I46" s="37">
        <f t="shared" si="1"/>
        <v>0.87030403233213927</v>
      </c>
      <c r="J46" s="37">
        <f t="shared" si="2"/>
        <v>17.910447761194028</v>
      </c>
      <c r="K46" s="35"/>
      <c r="L46" s="38">
        <v>2975</v>
      </c>
      <c r="M46" s="38">
        <v>794.57</v>
      </c>
      <c r="N46" s="38">
        <v>2550</v>
      </c>
      <c r="O46" s="37">
        <v>28.526881720430108</v>
      </c>
      <c r="P46" s="37">
        <f t="shared" si="5"/>
        <v>2.6739411764705885</v>
      </c>
      <c r="Q46" s="37">
        <f t="shared" si="6"/>
        <v>1.0610091743119265</v>
      </c>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x14ac:dyDescent="0.3">
      <c r="B47" s="41">
        <v>41334</v>
      </c>
      <c r="C47" s="34">
        <f t="shared" si="3"/>
        <v>32.652464050455109</v>
      </c>
      <c r="D47" s="34">
        <f t="shared" si="4"/>
        <v>32.261403188087904</v>
      </c>
      <c r="E47" s="35"/>
      <c r="F47" s="36">
        <v>2950</v>
      </c>
      <c r="G47" s="36">
        <v>2400</v>
      </c>
      <c r="H47" s="34">
        <f t="shared" si="0"/>
        <v>13.382331179401174</v>
      </c>
      <c r="I47" s="34">
        <f t="shared" si="1"/>
        <v>0.89326719941214294</v>
      </c>
      <c r="J47" s="34">
        <f t="shared" si="2"/>
        <v>18.376865671641792</v>
      </c>
      <c r="K47" s="35"/>
      <c r="L47" s="36">
        <v>3000</v>
      </c>
      <c r="M47" s="36">
        <v>741</v>
      </c>
      <c r="N47" s="36">
        <v>2650</v>
      </c>
      <c r="O47" s="34">
        <v>28.795698924731184</v>
      </c>
      <c r="P47" s="34">
        <f t="shared" si="5"/>
        <v>2.3588235294117648</v>
      </c>
      <c r="Q47" s="34">
        <f t="shared" si="6"/>
        <v>1.1068807339449542</v>
      </c>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x14ac:dyDescent="0.3">
      <c r="B48" s="42">
        <v>41365</v>
      </c>
      <c r="C48" s="37">
        <f t="shared" si="3"/>
        <v>39.280480657654977</v>
      </c>
      <c r="D48" s="37">
        <f t="shared" si="4"/>
        <v>34.188965583273855</v>
      </c>
      <c r="E48" s="35"/>
      <c r="F48" s="38">
        <v>3500</v>
      </c>
      <c r="G48" s="38">
        <v>2800</v>
      </c>
      <c r="H48" s="37">
        <f t="shared" si="0"/>
        <v>16.095299166378929</v>
      </c>
      <c r="I48" s="37">
        <f t="shared" si="1"/>
        <v>1.0769725360521722</v>
      </c>
      <c r="J48" s="37">
        <f t="shared" si="2"/>
        <v>22.10820895522388</v>
      </c>
      <c r="K48" s="35"/>
      <c r="L48" s="38">
        <v>3100</v>
      </c>
      <c r="M48" s="38">
        <v>843</v>
      </c>
      <c r="N48" s="38">
        <v>3200</v>
      </c>
      <c r="O48" s="37">
        <v>29.870967741935484</v>
      </c>
      <c r="P48" s="37">
        <f t="shared" si="5"/>
        <v>2.9588235294117649</v>
      </c>
      <c r="Q48" s="37">
        <f t="shared" si="6"/>
        <v>1.3591743119266055</v>
      </c>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row>
    <row r="49" spans="2:45" x14ac:dyDescent="0.3">
      <c r="B49" s="41">
        <v>41395</v>
      </c>
      <c r="C49" s="34">
        <f t="shared" si="3"/>
        <v>39.033847204293366</v>
      </c>
      <c r="D49" s="34">
        <f t="shared" si="4"/>
        <v>35.258945679485173</v>
      </c>
      <c r="E49" s="35"/>
      <c r="F49" s="36">
        <v>3450</v>
      </c>
      <c r="G49" s="36">
        <v>2800</v>
      </c>
      <c r="H49" s="34">
        <f t="shared" si="0"/>
        <v>15.848665713017313</v>
      </c>
      <c r="I49" s="34">
        <f t="shared" si="1"/>
        <v>1.0769725360521722</v>
      </c>
      <c r="J49" s="34">
        <f t="shared" si="2"/>
        <v>22.10820895522388</v>
      </c>
      <c r="K49" s="35"/>
      <c r="L49" s="36">
        <v>3200</v>
      </c>
      <c r="M49" s="36">
        <v>846</v>
      </c>
      <c r="N49" s="36">
        <v>3150</v>
      </c>
      <c r="O49" s="34">
        <v>30.946236559139784</v>
      </c>
      <c r="P49" s="34">
        <f t="shared" si="5"/>
        <v>2.9764705882352942</v>
      </c>
      <c r="Q49" s="34">
        <f t="shared" si="6"/>
        <v>1.3362385321100918</v>
      </c>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row>
    <row r="50" spans="2:45" x14ac:dyDescent="0.3">
      <c r="B50" s="42">
        <v>41426</v>
      </c>
      <c r="C50" s="37">
        <f t="shared" si="3"/>
        <v>39.280480657654977</v>
      </c>
      <c r="D50" s="37">
        <f t="shared" si="4"/>
        <v>35.772457044374427</v>
      </c>
      <c r="E50" s="35"/>
      <c r="F50" s="38">
        <v>3500</v>
      </c>
      <c r="G50" s="38">
        <v>2800</v>
      </c>
      <c r="H50" s="37">
        <f t="shared" si="0"/>
        <v>16.095299166378929</v>
      </c>
      <c r="I50" s="37">
        <f t="shared" si="1"/>
        <v>1.0769725360521722</v>
      </c>
      <c r="J50" s="37">
        <f t="shared" si="2"/>
        <v>22.10820895522388</v>
      </c>
      <c r="K50" s="35"/>
      <c r="L50" s="38">
        <v>3250</v>
      </c>
      <c r="M50" s="38">
        <v>838</v>
      </c>
      <c r="N50" s="38">
        <v>3200</v>
      </c>
      <c r="O50" s="37">
        <v>31.483870967741936</v>
      </c>
      <c r="P50" s="37">
        <f t="shared" si="5"/>
        <v>2.9294117647058822</v>
      </c>
      <c r="Q50" s="37">
        <f t="shared" si="6"/>
        <v>1.3591743119266055</v>
      </c>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row>
    <row r="51" spans="2:45" x14ac:dyDescent="0.3">
      <c r="B51" s="41">
        <v>41456</v>
      </c>
      <c r="C51" s="34">
        <f t="shared" si="3"/>
        <v>39.773747564378205</v>
      </c>
      <c r="D51" s="34">
        <f t="shared" si="4"/>
        <v>36.607133158087152</v>
      </c>
      <c r="E51" s="35"/>
      <c r="F51" s="36">
        <v>3600</v>
      </c>
      <c r="G51" s="36">
        <v>2800</v>
      </c>
      <c r="H51" s="34">
        <f t="shared" si="0"/>
        <v>16.588566073102154</v>
      </c>
      <c r="I51" s="34">
        <f t="shared" si="1"/>
        <v>1.0769725360521722</v>
      </c>
      <c r="J51" s="34">
        <f t="shared" si="2"/>
        <v>22.10820895522388</v>
      </c>
      <c r="K51" s="35"/>
      <c r="L51" s="36">
        <v>3325</v>
      </c>
      <c r="M51" s="36">
        <v>835</v>
      </c>
      <c r="N51" s="36">
        <v>3300</v>
      </c>
      <c r="O51" s="34">
        <v>32.29032258064516</v>
      </c>
      <c r="P51" s="34">
        <f t="shared" si="5"/>
        <v>2.9117647058823528</v>
      </c>
      <c r="Q51" s="34">
        <f t="shared" si="6"/>
        <v>1.405045871559633</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row>
    <row r="52" spans="2:45" x14ac:dyDescent="0.3">
      <c r="B52" s="42">
        <v>41487</v>
      </c>
      <c r="C52" s="37">
        <f t="shared" si="3"/>
        <v>40.020381017739822</v>
      </c>
      <c r="D52" s="37">
        <f t="shared" si="4"/>
        <v>37.695344080218646</v>
      </c>
      <c r="E52" s="35"/>
      <c r="F52" s="38">
        <v>3650</v>
      </c>
      <c r="G52" s="38">
        <v>2800</v>
      </c>
      <c r="H52" s="37">
        <f t="shared" si="0"/>
        <v>16.835199526463768</v>
      </c>
      <c r="I52" s="37">
        <f t="shared" si="1"/>
        <v>1.0769725360521722</v>
      </c>
      <c r="J52" s="37">
        <f t="shared" si="2"/>
        <v>22.10820895522388</v>
      </c>
      <c r="K52" s="35"/>
      <c r="L52" s="38">
        <v>3400</v>
      </c>
      <c r="M52" s="38">
        <v>879</v>
      </c>
      <c r="N52" s="38">
        <v>3350</v>
      </c>
      <c r="O52" s="37">
        <v>33.096774193548384</v>
      </c>
      <c r="P52" s="37">
        <f t="shared" si="5"/>
        <v>3.1705882352941175</v>
      </c>
      <c r="Q52" s="37">
        <f t="shared" si="6"/>
        <v>1.4279816513761467</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row>
    <row r="53" spans="2:45" x14ac:dyDescent="0.3">
      <c r="B53" s="41">
        <v>41518</v>
      </c>
      <c r="C53" s="34">
        <f t="shared" si="3"/>
        <v>39.89706429105901</v>
      </c>
      <c r="D53" s="34">
        <f t="shared" si="4"/>
        <v>37.886216481265485</v>
      </c>
      <c r="E53" s="35"/>
      <c r="F53" s="36">
        <v>3625</v>
      </c>
      <c r="G53" s="36">
        <v>2800</v>
      </c>
      <c r="H53" s="34">
        <f t="shared" si="0"/>
        <v>16.711882799782963</v>
      </c>
      <c r="I53" s="34">
        <f t="shared" si="1"/>
        <v>1.0769725360521722</v>
      </c>
      <c r="J53" s="34">
        <f t="shared" si="2"/>
        <v>22.10820895522388</v>
      </c>
      <c r="K53" s="35"/>
      <c r="L53" s="36">
        <v>3450</v>
      </c>
      <c r="M53" s="36">
        <v>822</v>
      </c>
      <c r="N53" s="36">
        <v>3325</v>
      </c>
      <c r="O53" s="34">
        <v>33.634408602150536</v>
      </c>
      <c r="P53" s="34">
        <f t="shared" si="5"/>
        <v>2.835294117647059</v>
      </c>
      <c r="Q53" s="34">
        <f t="shared" si="6"/>
        <v>1.41651376146789</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row>
    <row r="54" spans="2:45" x14ac:dyDescent="0.3">
      <c r="B54" s="42">
        <v>41548</v>
      </c>
      <c r="C54" s="37">
        <f t="shared" si="3"/>
        <v>38.550294870558794</v>
      </c>
      <c r="D54" s="37">
        <f t="shared" si="4"/>
        <v>37.615925061945468</v>
      </c>
      <c r="E54" s="35"/>
      <c r="F54" s="38">
        <v>3600</v>
      </c>
      <c r="G54" s="38">
        <v>2675</v>
      </c>
      <c r="H54" s="37">
        <f t="shared" si="0"/>
        <v>16.588566073102154</v>
      </c>
      <c r="I54" s="37">
        <f t="shared" si="1"/>
        <v>1.0195646183521632</v>
      </c>
      <c r="J54" s="37">
        <f t="shared" si="2"/>
        <v>20.942164179104477</v>
      </c>
      <c r="K54" s="35"/>
      <c r="L54" s="38">
        <v>3450</v>
      </c>
      <c r="M54" s="38">
        <v>778</v>
      </c>
      <c r="N54" s="38">
        <v>3300</v>
      </c>
      <c r="O54" s="37">
        <v>33.634408602150536</v>
      </c>
      <c r="P54" s="37">
        <f t="shared" si="5"/>
        <v>2.5764705882352943</v>
      </c>
      <c r="Q54" s="37">
        <f t="shared" si="6"/>
        <v>1.405045871559633</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row>
    <row r="55" spans="2:45" x14ac:dyDescent="0.3">
      <c r="B55" s="41">
        <v>41579</v>
      </c>
      <c r="C55" s="34">
        <f t="shared" si="3"/>
        <v>37.812337425071689</v>
      </c>
      <c r="D55" s="34">
        <f t="shared" si="4"/>
        <v>37.593582914077146</v>
      </c>
      <c r="E55" s="35"/>
      <c r="F55" s="36">
        <v>3500</v>
      </c>
      <c r="G55" s="36">
        <v>2650</v>
      </c>
      <c r="H55" s="34">
        <f t="shared" si="0"/>
        <v>16.095299166378929</v>
      </c>
      <c r="I55" s="34">
        <f t="shared" si="1"/>
        <v>1.0080830348121612</v>
      </c>
      <c r="J55" s="34">
        <f t="shared" si="2"/>
        <v>20.708955223880597</v>
      </c>
      <c r="K55" s="35"/>
      <c r="L55" s="36">
        <v>3450</v>
      </c>
      <c r="M55" s="36">
        <v>782</v>
      </c>
      <c r="N55" s="36">
        <v>3200</v>
      </c>
      <c r="O55" s="34">
        <v>33.634408602150536</v>
      </c>
      <c r="P55" s="34">
        <f t="shared" si="5"/>
        <v>2.6</v>
      </c>
      <c r="Q55" s="34">
        <f t="shared" si="6"/>
        <v>1.3591743119266055</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row>
    <row r="56" spans="2:45" x14ac:dyDescent="0.3">
      <c r="B56" s="42">
        <v>41609</v>
      </c>
      <c r="C56" s="37">
        <f t="shared" si="3"/>
        <v>38.912473392210288</v>
      </c>
      <c r="D56" s="37">
        <f t="shared" si="4"/>
        <v>37.876689629500717</v>
      </c>
      <c r="E56" s="35"/>
      <c r="F56" s="38">
        <v>3475</v>
      </c>
      <c r="G56" s="38">
        <v>2775</v>
      </c>
      <c r="H56" s="37">
        <f t="shared" si="0"/>
        <v>15.97198243969812</v>
      </c>
      <c r="I56" s="37">
        <f t="shared" si="1"/>
        <v>1.0654909525121705</v>
      </c>
      <c r="J56" s="37">
        <f t="shared" si="2"/>
        <v>21.875</v>
      </c>
      <c r="K56" s="35"/>
      <c r="L56" s="38">
        <v>3450</v>
      </c>
      <c r="M56" s="38">
        <v>832.07768290641206</v>
      </c>
      <c r="N56" s="38">
        <v>3175</v>
      </c>
      <c r="O56" s="37">
        <v>33.634408602150536</v>
      </c>
      <c r="P56" s="37">
        <f t="shared" si="5"/>
        <v>2.8945746053318357</v>
      </c>
      <c r="Q56" s="37">
        <f t="shared" si="6"/>
        <v>1.3477064220183486</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row>
    <row r="57" spans="2:45" x14ac:dyDescent="0.3">
      <c r="B57" s="41">
        <v>41640</v>
      </c>
      <c r="C57" s="34">
        <f t="shared" si="3"/>
        <v>38.049256305444644</v>
      </c>
      <c r="D57" s="34">
        <f t="shared" si="4"/>
        <v>37.755073334747941</v>
      </c>
      <c r="E57" s="35"/>
      <c r="F57" s="36">
        <v>3300</v>
      </c>
      <c r="G57" s="36">
        <v>2775</v>
      </c>
      <c r="H57" s="34">
        <f t="shared" si="0"/>
        <v>15.108765352932473</v>
      </c>
      <c r="I57" s="34">
        <f t="shared" si="1"/>
        <v>1.0654909525121705</v>
      </c>
      <c r="J57" s="34">
        <f t="shared" si="2"/>
        <v>21.875</v>
      </c>
      <c r="K57" s="35"/>
      <c r="L57" s="36">
        <v>3450</v>
      </c>
      <c r="M57" s="36">
        <v>825.04970178926442</v>
      </c>
      <c r="N57" s="36">
        <v>3000</v>
      </c>
      <c r="O57" s="34">
        <v>33.634408602150536</v>
      </c>
      <c r="P57" s="34">
        <f t="shared" si="5"/>
        <v>2.8532335399368498</v>
      </c>
      <c r="Q57" s="34">
        <f t="shared" si="6"/>
        <v>1.2674311926605504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row>
    <row r="58" spans="2:45" x14ac:dyDescent="0.3">
      <c r="B58" s="42">
        <v>41671</v>
      </c>
      <c r="C58" s="37">
        <f t="shared" si="3"/>
        <v>35.708181413107042</v>
      </c>
      <c r="D58" s="37">
        <f t="shared" si="4"/>
        <v>37.084961148390377</v>
      </c>
      <c r="E58" s="35"/>
      <c r="F58" s="38">
        <v>2875</v>
      </c>
      <c r="G58" s="38">
        <v>2750</v>
      </c>
      <c r="H58" s="37">
        <f t="shared" si="0"/>
        <v>13.012380999358752</v>
      </c>
      <c r="I58" s="37">
        <f t="shared" si="1"/>
        <v>1.0540093689721686</v>
      </c>
      <c r="J58" s="37">
        <f t="shared" si="2"/>
        <v>21.64179104477612</v>
      </c>
      <c r="K58" s="35"/>
      <c r="L58" s="38">
        <v>3400</v>
      </c>
      <c r="M58" s="38">
        <v>835.67068140570871</v>
      </c>
      <c r="N58" s="38">
        <v>2575</v>
      </c>
      <c r="O58" s="37">
        <v>33.096774193548384</v>
      </c>
      <c r="P58" s="37">
        <f t="shared" si="5"/>
        <v>2.9157098906218155</v>
      </c>
      <c r="Q58" s="37">
        <f t="shared" si="6"/>
        <v>1.0724770642201835</v>
      </c>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row>
    <row r="59" spans="2:45" x14ac:dyDescent="0.3">
      <c r="B59" s="41">
        <v>41699</v>
      </c>
      <c r="C59" s="34">
        <f t="shared" si="3"/>
        <v>35.586807601023963</v>
      </c>
      <c r="D59" s="34">
        <f t="shared" si="4"/>
        <v>35.693167183240078</v>
      </c>
      <c r="E59" s="35"/>
      <c r="F59" s="36">
        <v>2900</v>
      </c>
      <c r="G59" s="36">
        <v>2725</v>
      </c>
      <c r="H59" s="34">
        <f t="shared" si="0"/>
        <v>13.13569772603956</v>
      </c>
      <c r="I59" s="34">
        <f t="shared" si="1"/>
        <v>1.0425277854321668</v>
      </c>
      <c r="J59" s="34">
        <f t="shared" si="2"/>
        <v>21.40858208955224</v>
      </c>
      <c r="K59" s="35"/>
      <c r="L59" s="36">
        <v>3300</v>
      </c>
      <c r="M59" s="36">
        <v>779.91186497048307</v>
      </c>
      <c r="N59" s="36">
        <v>2600</v>
      </c>
      <c r="O59" s="34">
        <v>32.021505376344088</v>
      </c>
      <c r="P59" s="34">
        <f t="shared" si="5"/>
        <v>2.5877168527675476</v>
      </c>
      <c r="Q59" s="34">
        <f t="shared" si="6"/>
        <v>1.0839449541284403</v>
      </c>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row>
    <row r="60" spans="2:45" x14ac:dyDescent="0.3">
      <c r="B60" s="42">
        <v>41730</v>
      </c>
      <c r="C60" s="37">
        <f t="shared" si="3"/>
        <v>33.137959298787408</v>
      </c>
      <c r="D60" s="37">
        <f t="shared" si="4"/>
        <v>33.350782576203322</v>
      </c>
      <c r="E60" s="35"/>
      <c r="F60" s="38">
        <v>2850</v>
      </c>
      <c r="G60" s="38">
        <v>2500</v>
      </c>
      <c r="H60" s="37">
        <f t="shared" si="0"/>
        <v>12.889064272677945</v>
      </c>
      <c r="I60" s="37">
        <f t="shared" si="1"/>
        <v>0.9391935335721503</v>
      </c>
      <c r="J60" s="37">
        <f t="shared" si="2"/>
        <v>19.309701492537314</v>
      </c>
      <c r="K60" s="35"/>
      <c r="L60" s="38">
        <v>3100</v>
      </c>
      <c r="M60" s="38">
        <v>751.19696219250454</v>
      </c>
      <c r="N60" s="38">
        <v>2550</v>
      </c>
      <c r="O60" s="37">
        <v>29.870967741935484</v>
      </c>
      <c r="P60" s="37">
        <f t="shared" si="5"/>
        <v>2.4188056599559093</v>
      </c>
      <c r="Q60" s="37">
        <f t="shared" si="6"/>
        <v>1.0610091743119265</v>
      </c>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row>
    <row r="61" spans="2:45" x14ac:dyDescent="0.3">
      <c r="B61" s="41">
        <v>41760</v>
      </c>
      <c r="C61" s="34">
        <f t="shared" si="3"/>
        <v>31.29986588616169</v>
      </c>
      <c r="D61" s="34">
        <f t="shared" si="4"/>
        <v>32.125176692600334</v>
      </c>
      <c r="E61" s="35"/>
      <c r="F61" s="36">
        <v>2775</v>
      </c>
      <c r="G61" s="36">
        <v>2350</v>
      </c>
      <c r="H61" s="34">
        <f t="shared" si="0"/>
        <v>12.519114092635524</v>
      </c>
      <c r="I61" s="34">
        <f t="shared" si="1"/>
        <v>0.87030403233213927</v>
      </c>
      <c r="J61" s="34">
        <f t="shared" si="2"/>
        <v>17.910447761194028</v>
      </c>
      <c r="K61" s="35"/>
      <c r="L61" s="36">
        <v>3000</v>
      </c>
      <c r="M61" s="36">
        <v>731.48828475793937</v>
      </c>
      <c r="N61" s="36">
        <v>2475</v>
      </c>
      <c r="O61" s="34">
        <v>28.795698924731184</v>
      </c>
      <c r="P61" s="34">
        <f t="shared" si="5"/>
        <v>2.3028722632819965</v>
      </c>
      <c r="Q61" s="34">
        <f t="shared" si="6"/>
        <v>1.026605504587156</v>
      </c>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row>
    <row r="62" spans="2:45" x14ac:dyDescent="0.3">
      <c r="B62" s="42">
        <v>41791</v>
      </c>
      <c r="C62" s="37">
        <f t="shared" si="3"/>
        <v>32.282513870412686</v>
      </c>
      <c r="D62" s="37">
        <f t="shared" si="4"/>
        <v>32.763108872499046</v>
      </c>
      <c r="E62" s="35"/>
      <c r="F62" s="38">
        <v>2875</v>
      </c>
      <c r="G62" s="38">
        <v>2400</v>
      </c>
      <c r="H62" s="37">
        <f t="shared" si="0"/>
        <v>13.012380999358752</v>
      </c>
      <c r="I62" s="37">
        <f t="shared" si="1"/>
        <v>0.89326719941214294</v>
      </c>
      <c r="J62" s="37">
        <f t="shared" si="2"/>
        <v>18.376865671641792</v>
      </c>
      <c r="K62" s="35"/>
      <c r="L62" s="38">
        <v>3050</v>
      </c>
      <c r="M62" s="38">
        <v>740.74074074074076</v>
      </c>
      <c r="N62" s="38">
        <v>2575</v>
      </c>
      <c r="O62" s="37">
        <v>29.333333333333332</v>
      </c>
      <c r="P62" s="37">
        <f t="shared" si="5"/>
        <v>2.3572984749455337</v>
      </c>
      <c r="Q62" s="37">
        <f t="shared" si="6"/>
        <v>1.0724770642201835</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1">
        <v>41821</v>
      </c>
      <c r="C63" s="34">
        <f t="shared" si="3"/>
        <v>30.93574444991247</v>
      </c>
      <c r="D63" s="34">
        <f t="shared" si="4"/>
        <v>32.712051181338509</v>
      </c>
      <c r="E63" s="35"/>
      <c r="F63" s="36">
        <v>2850</v>
      </c>
      <c r="G63" s="36">
        <v>2275</v>
      </c>
      <c r="H63" s="34">
        <f t="shared" si="0"/>
        <v>12.889064272677945</v>
      </c>
      <c r="I63" s="34">
        <f t="shared" si="1"/>
        <v>0.83585928171213375</v>
      </c>
      <c r="J63" s="34">
        <f t="shared" si="2"/>
        <v>17.210820895522389</v>
      </c>
      <c r="K63" s="35"/>
      <c r="L63" s="36">
        <v>3050</v>
      </c>
      <c r="M63" s="36">
        <v>734.01047452785269</v>
      </c>
      <c r="N63" s="36">
        <v>2550</v>
      </c>
      <c r="O63" s="34">
        <v>29.333333333333332</v>
      </c>
      <c r="P63" s="34">
        <f t="shared" si="5"/>
        <v>2.3177086736932511</v>
      </c>
      <c r="Q63" s="34">
        <f t="shared" si="6"/>
        <v>1.0610091743119265</v>
      </c>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2">
        <v>41852</v>
      </c>
      <c r="C64" s="37">
        <f t="shared" si="3"/>
        <v>27.257614710063308</v>
      </c>
      <c r="D64" s="37">
        <f t="shared" si="4"/>
        <v>31.195230495573497</v>
      </c>
      <c r="E64" s="35"/>
      <c r="F64" s="38">
        <v>2650</v>
      </c>
      <c r="G64" s="38">
        <v>2000</v>
      </c>
      <c r="H64" s="37">
        <f t="shared" si="0"/>
        <v>11.902530459231491</v>
      </c>
      <c r="I64" s="37">
        <f t="shared" si="1"/>
        <v>0.70956186277211353</v>
      </c>
      <c r="J64" s="37">
        <f t="shared" si="2"/>
        <v>14.645522388059701</v>
      </c>
      <c r="K64" s="35"/>
      <c r="L64" s="38">
        <v>2950</v>
      </c>
      <c r="M64" s="38">
        <v>674.54298714776087</v>
      </c>
      <c r="N64" s="38">
        <v>2350</v>
      </c>
      <c r="O64" s="37">
        <v>28.258064516129032</v>
      </c>
      <c r="P64" s="37">
        <f t="shared" si="5"/>
        <v>1.9678999243985933</v>
      </c>
      <c r="Q64" s="37">
        <f t="shared" si="6"/>
        <v>0.9692660550458716</v>
      </c>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1">
        <v>41883</v>
      </c>
      <c r="C65" s="34">
        <f t="shared" si="3"/>
        <v>23.454225328935603</v>
      </c>
      <c r="D65" s="34">
        <f t="shared" si="4"/>
        <v>28.867516736010771</v>
      </c>
      <c r="E65" s="35"/>
      <c r="F65" s="36">
        <v>2375</v>
      </c>
      <c r="G65" s="36">
        <v>1750</v>
      </c>
      <c r="H65" s="34">
        <f t="shared" si="0"/>
        <v>10.546046465742613</v>
      </c>
      <c r="I65" s="34">
        <f t="shared" si="1"/>
        <v>0.59474602737209514</v>
      </c>
      <c r="J65" s="34">
        <f t="shared" si="2"/>
        <v>12.313432835820896</v>
      </c>
      <c r="K65" s="35"/>
      <c r="L65" s="36">
        <v>2750</v>
      </c>
      <c r="M65" s="36">
        <v>665.86799999999994</v>
      </c>
      <c r="N65" s="36">
        <v>2075</v>
      </c>
      <c r="O65" s="34">
        <v>26.107526881720432</v>
      </c>
      <c r="P65" s="34">
        <f t="shared" si="5"/>
        <v>1.9168705882352939</v>
      </c>
      <c r="Q65" s="34">
        <f t="shared" si="6"/>
        <v>0.84311926605504584</v>
      </c>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2">
        <v>41913</v>
      </c>
      <c r="C66" s="37">
        <f t="shared" si="3"/>
        <v>21.37338429214374</v>
      </c>
      <c r="D66" s="37">
        <f t="shared" si="4"/>
        <v>26.283712097209406</v>
      </c>
      <c r="E66" s="35"/>
      <c r="F66" s="38">
        <v>2350</v>
      </c>
      <c r="G66" s="38">
        <v>1550</v>
      </c>
      <c r="H66" s="37">
        <f t="shared" si="0"/>
        <v>10.422729739061806</v>
      </c>
      <c r="I66" s="37">
        <f t="shared" si="1"/>
        <v>0.50289335905208044</v>
      </c>
      <c r="J66" s="37">
        <f t="shared" si="2"/>
        <v>10.447761194029852</v>
      </c>
      <c r="K66" s="35"/>
      <c r="L66" s="38">
        <v>2500</v>
      </c>
      <c r="M66" s="38">
        <v>685.56000000000006</v>
      </c>
      <c r="N66" s="38">
        <v>2050</v>
      </c>
      <c r="O66" s="37">
        <v>23.419354838709676</v>
      </c>
      <c r="P66" s="37">
        <f t="shared" si="5"/>
        <v>2.0327058823529418</v>
      </c>
      <c r="Q66" s="37">
        <f t="shared" si="6"/>
        <v>0.83165137614678897</v>
      </c>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1">
        <v>41944</v>
      </c>
      <c r="C67" s="34">
        <f t="shared" si="3"/>
        <v>21.128693753379856</v>
      </c>
      <c r="D67" s="34">
        <f t="shared" si="4"/>
        <v>24.911773577285306</v>
      </c>
      <c r="E67" s="35"/>
      <c r="F67" s="36">
        <v>2350</v>
      </c>
      <c r="G67" s="36">
        <v>1525</v>
      </c>
      <c r="H67" s="34">
        <f t="shared" si="0"/>
        <v>10.422729739061806</v>
      </c>
      <c r="I67" s="34">
        <f t="shared" si="1"/>
        <v>0.49141177551207865</v>
      </c>
      <c r="J67" s="34">
        <f t="shared" si="2"/>
        <v>10.21455223880597</v>
      </c>
      <c r="K67" s="35"/>
      <c r="L67" s="36">
        <v>2350</v>
      </c>
      <c r="M67" s="36">
        <v>726.524</v>
      </c>
      <c r="N67" s="36">
        <v>2050</v>
      </c>
      <c r="O67" s="34">
        <v>21.806451612903224</v>
      </c>
      <c r="P67" s="34">
        <f t="shared" si="5"/>
        <v>2.2736705882352943</v>
      </c>
      <c r="Q67" s="34">
        <f t="shared" si="6"/>
        <v>0.83165137614678897</v>
      </c>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2">
        <v>41974</v>
      </c>
      <c r="C68" s="37">
        <f t="shared" si="3"/>
        <v>19.779981418281903</v>
      </c>
      <c r="D68" s="37">
        <f t="shared" si="4"/>
        <v>23.684915796238592</v>
      </c>
      <c r="E68" s="35"/>
      <c r="F68" s="38">
        <v>2275</v>
      </c>
      <c r="G68" s="38">
        <v>1425</v>
      </c>
      <c r="H68" s="37">
        <f t="shared" si="0"/>
        <v>10.052779559019385</v>
      </c>
      <c r="I68" s="37">
        <f t="shared" si="1"/>
        <v>0.4454854413520713</v>
      </c>
      <c r="J68" s="37">
        <f t="shared" si="2"/>
        <v>9.281716417910447</v>
      </c>
      <c r="K68" s="35"/>
      <c r="L68" s="38">
        <v>2250</v>
      </c>
      <c r="M68" s="38">
        <v>706.60249999999996</v>
      </c>
      <c r="N68" s="38">
        <v>1975</v>
      </c>
      <c r="O68" s="37">
        <v>20.731182795698924</v>
      </c>
      <c r="P68" s="37">
        <f t="shared" si="5"/>
        <v>2.1564852941176471</v>
      </c>
      <c r="Q68" s="37">
        <f t="shared" si="6"/>
        <v>0.79724770642201837</v>
      </c>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1">
        <v>42005</v>
      </c>
      <c r="C69" s="34">
        <f t="shared" si="3"/>
        <v>19.533347964920289</v>
      </c>
      <c r="D69" s="34">
        <f t="shared" si="4"/>
        <v>22.959954431349342</v>
      </c>
      <c r="E69" s="35"/>
      <c r="F69" s="36">
        <v>2225</v>
      </c>
      <c r="G69" s="36">
        <v>1425</v>
      </c>
      <c r="H69" s="34">
        <f t="shared" si="0"/>
        <v>9.8061461056577706</v>
      </c>
      <c r="I69" s="34">
        <f t="shared" si="1"/>
        <v>0.4454854413520713</v>
      </c>
      <c r="J69" s="34">
        <f t="shared" si="2"/>
        <v>9.281716417910447</v>
      </c>
      <c r="K69" s="35"/>
      <c r="L69" s="36">
        <v>2200</v>
      </c>
      <c r="M69" s="36">
        <v>678.65599999999995</v>
      </c>
      <c r="N69" s="36">
        <v>1925</v>
      </c>
      <c r="O69" s="34">
        <v>20.193548387096776</v>
      </c>
      <c r="P69" s="34">
        <f t="shared" si="5"/>
        <v>1.9920941176470583</v>
      </c>
      <c r="Q69" s="34">
        <f t="shared" si="6"/>
        <v>0.77431192660550463</v>
      </c>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2">
        <v>42036</v>
      </c>
      <c r="C70" s="37">
        <f t="shared" si="3"/>
        <v>23.581427884811873</v>
      </c>
      <c r="D70" s="37">
        <f t="shared" si="4"/>
        <v>25.930326204527386</v>
      </c>
      <c r="E70" s="35"/>
      <c r="F70" s="38">
        <v>2500</v>
      </c>
      <c r="G70" s="38">
        <v>1700</v>
      </c>
      <c r="H70" s="37">
        <f t="shared" si="0"/>
        <v>11.162630099146648</v>
      </c>
      <c r="I70" s="37">
        <f t="shared" si="1"/>
        <v>0.57178286029209147</v>
      </c>
      <c r="J70" s="37">
        <f t="shared" si="2"/>
        <v>11.847014925373134</v>
      </c>
      <c r="K70" s="35"/>
      <c r="L70" s="38">
        <v>2450</v>
      </c>
      <c r="M70" s="38">
        <v>705.18499999999995</v>
      </c>
      <c r="N70" s="38">
        <v>2200</v>
      </c>
      <c r="O70" s="37">
        <v>22.881720430107528</v>
      </c>
      <c r="P70" s="37">
        <f t="shared" si="5"/>
        <v>2.148147058823529</v>
      </c>
      <c r="Q70" s="37">
        <f t="shared" si="6"/>
        <v>0.90045871559633028</v>
      </c>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1">
        <v>42064</v>
      </c>
      <c r="C71" s="34">
        <f t="shared" si="3"/>
        <v>21.37338429214374</v>
      </c>
      <c r="D71" s="34">
        <f t="shared" si="4"/>
        <v>24.699160636108836</v>
      </c>
      <c r="E71" s="35"/>
      <c r="F71" s="36">
        <v>2350</v>
      </c>
      <c r="G71" s="36">
        <v>1550</v>
      </c>
      <c r="H71" s="34">
        <f t="shared" si="0"/>
        <v>10.422729739061806</v>
      </c>
      <c r="I71" s="34">
        <f t="shared" si="1"/>
        <v>0.50289335905208044</v>
      </c>
      <c r="J71" s="34">
        <f t="shared" si="2"/>
        <v>10.447761194029852</v>
      </c>
      <c r="K71" s="35"/>
      <c r="L71" s="36">
        <v>2350</v>
      </c>
      <c r="M71" s="36">
        <v>690.37980000000005</v>
      </c>
      <c r="N71" s="36">
        <v>2050</v>
      </c>
      <c r="O71" s="34">
        <v>21.806451612903224</v>
      </c>
      <c r="P71" s="34">
        <f t="shared" si="5"/>
        <v>2.0610576470588238</v>
      </c>
      <c r="Q71" s="34">
        <f t="shared" si="6"/>
        <v>0.83165137614678897</v>
      </c>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2">
        <v>42095</v>
      </c>
      <c r="C72" s="37">
        <f t="shared" si="3"/>
        <v>19.903298144962712</v>
      </c>
      <c r="D72" s="37">
        <f t="shared" si="4"/>
        <v>24.503473091586443</v>
      </c>
      <c r="E72" s="35"/>
      <c r="F72" s="38">
        <v>2300</v>
      </c>
      <c r="G72" s="38">
        <v>1425</v>
      </c>
      <c r="H72" s="37">
        <f t="shared" si="0"/>
        <v>10.176096285700192</v>
      </c>
      <c r="I72" s="37">
        <f t="shared" si="1"/>
        <v>0.4454854413520713</v>
      </c>
      <c r="J72" s="37">
        <f t="shared" si="2"/>
        <v>9.281716417910447</v>
      </c>
      <c r="K72" s="35"/>
      <c r="L72" s="38">
        <v>2350</v>
      </c>
      <c r="M72" s="38">
        <v>661.01199999999994</v>
      </c>
      <c r="N72" s="38">
        <v>2000</v>
      </c>
      <c r="O72" s="37">
        <v>21.806451612903224</v>
      </c>
      <c r="P72" s="37">
        <f t="shared" si="5"/>
        <v>1.8883058823529408</v>
      </c>
      <c r="Q72" s="37">
        <f t="shared" si="6"/>
        <v>0.80871559633027523</v>
      </c>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1">
        <v>42125</v>
      </c>
      <c r="C73" s="34">
        <f t="shared" si="3"/>
        <v>18.184635629822338</v>
      </c>
      <c r="D73" s="34">
        <f t="shared" si="4"/>
        <v>24.337759869783959</v>
      </c>
      <c r="E73" s="35"/>
      <c r="F73" s="36">
        <v>2150</v>
      </c>
      <c r="G73" s="36">
        <v>1325</v>
      </c>
      <c r="H73" s="34">
        <f t="shared" ref="H73:H127" si="7">(F73-237)*100/20273</f>
        <v>9.4361959256153511</v>
      </c>
      <c r="I73" s="34">
        <f t="shared" ref="I73:I127" si="8">((G73-103)-352)*100/217740</f>
        <v>0.39955910719206394</v>
      </c>
      <c r="J73" s="34">
        <f t="shared" ref="J73:J127" si="9">(G73-430)*100/10720</f>
        <v>8.3488805970149258</v>
      </c>
      <c r="K73" s="35"/>
      <c r="L73" s="36">
        <v>2350</v>
      </c>
      <c r="M73" s="36">
        <v>644.53800000000001</v>
      </c>
      <c r="N73" s="36">
        <v>1850</v>
      </c>
      <c r="O73" s="34">
        <v>21.806451612903224</v>
      </c>
      <c r="P73" s="34">
        <f t="shared" si="5"/>
        <v>1.7914000000000001</v>
      </c>
      <c r="Q73" s="34">
        <f t="shared" si="6"/>
        <v>0.73990825688073392</v>
      </c>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2">
        <v>42156</v>
      </c>
      <c r="C74" s="37">
        <f t="shared" ref="C74:C124" si="10">H74+I74+J74</f>
        <v>17.695254552294578</v>
      </c>
      <c r="D74" s="37">
        <f t="shared" ref="D74:D124" si="11">O74+P74+Q74</f>
        <v>23.902465752136902</v>
      </c>
      <c r="E74" s="35"/>
      <c r="F74" s="38">
        <v>2150</v>
      </c>
      <c r="G74" s="38">
        <v>1275</v>
      </c>
      <c r="H74" s="37">
        <f t="shared" si="7"/>
        <v>9.4361959256153511</v>
      </c>
      <c r="I74" s="37">
        <f t="shared" si="8"/>
        <v>0.37659594011206027</v>
      </c>
      <c r="J74" s="37">
        <f t="shared" si="9"/>
        <v>7.8824626865671643</v>
      </c>
      <c r="K74" s="35"/>
      <c r="L74" s="38">
        <v>2350</v>
      </c>
      <c r="M74" s="38">
        <v>570.53800000000001</v>
      </c>
      <c r="N74" s="38">
        <v>1850</v>
      </c>
      <c r="O74" s="37">
        <v>21.806451612903224</v>
      </c>
      <c r="P74" s="37">
        <f t="shared" si="5"/>
        <v>1.3561058823529413</v>
      </c>
      <c r="Q74" s="37">
        <f t="shared" si="6"/>
        <v>0.73990825688073392</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1">
        <v>42186</v>
      </c>
      <c r="C75" s="34">
        <f t="shared" si="10"/>
        <v>16.712606568043583</v>
      </c>
      <c r="D75" s="34">
        <f t="shared" si="11"/>
        <v>22.578139638424179</v>
      </c>
      <c r="E75" s="35"/>
      <c r="F75" s="36">
        <v>2050</v>
      </c>
      <c r="G75" s="36">
        <v>1225</v>
      </c>
      <c r="H75" s="34">
        <f t="shared" si="7"/>
        <v>8.9429290188921229</v>
      </c>
      <c r="I75" s="34">
        <f t="shared" si="8"/>
        <v>0.35363277303205659</v>
      </c>
      <c r="J75" s="34">
        <f t="shared" si="9"/>
        <v>7.4160447761194028</v>
      </c>
      <c r="K75" s="35"/>
      <c r="L75" s="36">
        <v>2275</v>
      </c>
      <c r="M75" s="36">
        <v>490.29750000000001</v>
      </c>
      <c r="N75" s="36">
        <v>1750</v>
      </c>
      <c r="O75" s="34">
        <v>21</v>
      </c>
      <c r="P75" s="34">
        <f t="shared" ref="P75:P126" si="12">(M75-340)*100/17000</f>
        <v>0.8841029411764707</v>
      </c>
      <c r="Q75" s="34">
        <f t="shared" ref="Q75:Q126" si="13">(N75-237)*100/218000</f>
        <v>0.69403669724770645</v>
      </c>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2">
        <v>42217</v>
      </c>
      <c r="C76" s="37">
        <f t="shared" si="10"/>
        <v>15.483325130430977</v>
      </c>
      <c r="D76" s="37">
        <f t="shared" si="11"/>
        <v>20.123238193977798</v>
      </c>
      <c r="E76" s="35"/>
      <c r="F76" s="38">
        <v>1900</v>
      </c>
      <c r="G76" s="38">
        <v>1175</v>
      </c>
      <c r="H76" s="37">
        <f t="shared" si="7"/>
        <v>8.2030286588072805</v>
      </c>
      <c r="I76" s="37">
        <f t="shared" si="8"/>
        <v>0.33066960595205291</v>
      </c>
      <c r="J76" s="37">
        <f t="shared" si="9"/>
        <v>6.9496268656716422</v>
      </c>
      <c r="K76" s="35"/>
      <c r="L76" s="38">
        <v>2075</v>
      </c>
      <c r="M76" s="38">
        <v>450.25290000000001</v>
      </c>
      <c r="N76" s="38">
        <v>1600</v>
      </c>
      <c r="O76" s="37">
        <v>18.849462365591396</v>
      </c>
      <c r="P76" s="37">
        <f t="shared" si="12"/>
        <v>0.64854647058823534</v>
      </c>
      <c r="Q76" s="37">
        <f t="shared" si="13"/>
        <v>0.62522935779816513</v>
      </c>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1">
        <v>42248</v>
      </c>
      <c r="C77" s="34">
        <f t="shared" si="10"/>
        <v>16.957297106807466</v>
      </c>
      <c r="D77" s="34">
        <f t="shared" si="11"/>
        <v>20.284472592250868</v>
      </c>
      <c r="E77" s="35"/>
      <c r="F77" s="36">
        <v>2050</v>
      </c>
      <c r="G77" s="36">
        <v>1250</v>
      </c>
      <c r="H77" s="34">
        <f t="shared" si="7"/>
        <v>8.9429290188921229</v>
      </c>
      <c r="I77" s="34">
        <f t="shared" si="8"/>
        <v>0.36511435657205843</v>
      </c>
      <c r="J77" s="34">
        <f t="shared" si="9"/>
        <v>7.6492537313432836</v>
      </c>
      <c r="K77" s="35"/>
      <c r="L77" s="36">
        <v>2075</v>
      </c>
      <c r="M77" s="36">
        <v>465.96550000000002</v>
      </c>
      <c r="N77" s="36">
        <v>1750</v>
      </c>
      <c r="O77" s="34">
        <v>18.849462365591396</v>
      </c>
      <c r="P77" s="34">
        <f t="shared" si="12"/>
        <v>0.74097352941176486</v>
      </c>
      <c r="Q77" s="34">
        <f t="shared" si="13"/>
        <v>0.69403669724770645</v>
      </c>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2">
        <v>42278</v>
      </c>
      <c r="C78" s="37">
        <f t="shared" si="10"/>
        <v>17.939945091058455</v>
      </c>
      <c r="D78" s="37">
        <f t="shared" si="11"/>
        <v>20.670776062067326</v>
      </c>
      <c r="E78" s="35"/>
      <c r="F78" s="38">
        <v>2150</v>
      </c>
      <c r="G78" s="38">
        <v>1300</v>
      </c>
      <c r="H78" s="37">
        <f t="shared" si="7"/>
        <v>9.4361959256153511</v>
      </c>
      <c r="I78" s="37">
        <f t="shared" si="8"/>
        <v>0.38807752365206211</v>
      </c>
      <c r="J78" s="37">
        <f t="shared" si="9"/>
        <v>8.1156716417910442</v>
      </c>
      <c r="K78" s="35"/>
      <c r="L78" s="38">
        <v>2100</v>
      </c>
      <c r="M78" s="38">
        <v>478.14000000000004</v>
      </c>
      <c r="N78" s="38">
        <v>1850</v>
      </c>
      <c r="O78" s="37">
        <v>19.118279569892472</v>
      </c>
      <c r="P78" s="37">
        <f t="shared" si="12"/>
        <v>0.81258823529411783</v>
      </c>
      <c r="Q78" s="37">
        <f t="shared" si="13"/>
        <v>0.73990825688073392</v>
      </c>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1">
        <v>42309</v>
      </c>
      <c r="C79" s="34">
        <f t="shared" si="10"/>
        <v>16.221282575918085</v>
      </c>
      <c r="D79" s="34">
        <f t="shared" si="11"/>
        <v>19.052507995230055</v>
      </c>
      <c r="E79" s="35"/>
      <c r="F79" s="36">
        <v>2000</v>
      </c>
      <c r="G79" s="36">
        <v>1200</v>
      </c>
      <c r="H79" s="34">
        <f t="shared" si="7"/>
        <v>8.6962955655305088</v>
      </c>
      <c r="I79" s="34">
        <f t="shared" si="8"/>
        <v>0.34215118949205475</v>
      </c>
      <c r="J79" s="34">
        <f t="shared" si="9"/>
        <v>7.1828358208955221</v>
      </c>
      <c r="K79" s="35"/>
      <c r="L79" s="36">
        <v>1975</v>
      </c>
      <c r="M79" s="36">
        <v>443.22629999999998</v>
      </c>
      <c r="N79" s="36">
        <v>1700</v>
      </c>
      <c r="O79" s="34">
        <v>17.774193548387096</v>
      </c>
      <c r="P79" s="34">
        <f t="shared" si="12"/>
        <v>0.60721352941176454</v>
      </c>
      <c r="Q79" s="34">
        <f t="shared" si="13"/>
        <v>0.67110091743119271</v>
      </c>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2">
        <v>42339</v>
      </c>
      <c r="C80" s="37">
        <f t="shared" si="10"/>
        <v>15.976592037154205</v>
      </c>
      <c r="D80" s="37">
        <f t="shared" si="11"/>
        <v>18.945853289347703</v>
      </c>
      <c r="E80" s="35"/>
      <c r="F80" s="38">
        <v>2000</v>
      </c>
      <c r="G80" s="38">
        <v>1175</v>
      </c>
      <c r="H80" s="37">
        <f t="shared" si="7"/>
        <v>8.6962955655305088</v>
      </c>
      <c r="I80" s="37">
        <f t="shared" si="8"/>
        <v>0.33066960595205291</v>
      </c>
      <c r="J80" s="37">
        <f t="shared" si="9"/>
        <v>6.9496268656716422</v>
      </c>
      <c r="K80" s="35"/>
      <c r="L80" s="38">
        <v>1975</v>
      </c>
      <c r="M80" s="38">
        <v>425.09500000000003</v>
      </c>
      <c r="N80" s="38">
        <v>1700</v>
      </c>
      <c r="O80" s="37">
        <v>17.774193548387096</v>
      </c>
      <c r="P80" s="37">
        <f t="shared" si="12"/>
        <v>0.50055882352941194</v>
      </c>
      <c r="Q80" s="37">
        <f t="shared" si="13"/>
        <v>0.67110091743119271</v>
      </c>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2:45" x14ac:dyDescent="0.3">
      <c r="B81" s="41">
        <v>42370</v>
      </c>
      <c r="C81" s="34">
        <f t="shared" si="10"/>
        <v>16.09990876383501</v>
      </c>
      <c r="D81" s="34">
        <f t="shared" si="11"/>
        <v>17.723946922456463</v>
      </c>
      <c r="E81" s="35"/>
      <c r="F81" s="36">
        <v>2025</v>
      </c>
      <c r="G81" s="36">
        <v>1175</v>
      </c>
      <c r="H81" s="34">
        <f t="shared" si="7"/>
        <v>8.8196122922113158</v>
      </c>
      <c r="I81" s="34">
        <f t="shared" si="8"/>
        <v>0.33066960595205291</v>
      </c>
      <c r="J81" s="34">
        <f t="shared" si="9"/>
        <v>6.9496268656716422</v>
      </c>
      <c r="K81" s="35"/>
      <c r="L81" s="36">
        <v>1850</v>
      </c>
      <c r="M81" s="36">
        <v>443.916</v>
      </c>
      <c r="N81" s="36">
        <v>1725</v>
      </c>
      <c r="O81" s="34">
        <v>16.43010752688172</v>
      </c>
      <c r="P81" s="34">
        <f t="shared" si="12"/>
        <v>0.61127058823529412</v>
      </c>
      <c r="Q81" s="34">
        <f t="shared" si="13"/>
        <v>0.68256880733944958</v>
      </c>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2:45" x14ac:dyDescent="0.3">
      <c r="B82" s="42">
        <v>42401</v>
      </c>
      <c r="C82" s="37">
        <f t="shared" si="10"/>
        <v>15.974649122556471</v>
      </c>
      <c r="D82" s="37">
        <f t="shared" si="11"/>
        <v>17.415257224901207</v>
      </c>
      <c r="E82" s="35"/>
      <c r="F82" s="38">
        <v>1950</v>
      </c>
      <c r="G82" s="38">
        <v>1200</v>
      </c>
      <c r="H82" s="37">
        <f t="shared" si="7"/>
        <v>8.4496621121688946</v>
      </c>
      <c r="I82" s="37">
        <f t="shared" si="8"/>
        <v>0.34215118949205475</v>
      </c>
      <c r="J82" s="37">
        <f t="shared" si="9"/>
        <v>7.1828358208955221</v>
      </c>
      <c r="K82" s="35"/>
      <c r="L82" s="38">
        <v>1825</v>
      </c>
      <c r="M82" s="38">
        <v>442.98630000000003</v>
      </c>
      <c r="N82" s="38">
        <v>1650</v>
      </c>
      <c r="O82" s="37">
        <v>16.161290322580644</v>
      </c>
      <c r="P82" s="37">
        <f t="shared" si="12"/>
        <v>0.60580176470588254</v>
      </c>
      <c r="Q82" s="37">
        <f t="shared" si="13"/>
        <v>0.64816513761467887</v>
      </c>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2:45" x14ac:dyDescent="0.3">
      <c r="B83" s="41">
        <v>42430</v>
      </c>
      <c r="C83" s="34">
        <f t="shared" si="10"/>
        <v>15.481382215833243</v>
      </c>
      <c r="D83" s="34">
        <f t="shared" si="11"/>
        <v>16.220729789240348</v>
      </c>
      <c r="E83" s="35"/>
      <c r="F83" s="36">
        <v>1850</v>
      </c>
      <c r="G83" s="36">
        <v>1200</v>
      </c>
      <c r="H83" s="34">
        <f t="shared" si="7"/>
        <v>7.9563952054456664</v>
      </c>
      <c r="I83" s="34">
        <f t="shared" si="8"/>
        <v>0.34215118949205475</v>
      </c>
      <c r="J83" s="34">
        <f t="shared" si="9"/>
        <v>7.1828358208955221</v>
      </c>
      <c r="K83" s="35"/>
      <c r="L83" s="36">
        <v>1725</v>
      </c>
      <c r="M83" s="36">
        <v>430.51049999999998</v>
      </c>
      <c r="N83" s="36">
        <v>1550</v>
      </c>
      <c r="O83" s="34">
        <v>15.086021505376344</v>
      </c>
      <c r="P83" s="34">
        <f t="shared" si="12"/>
        <v>0.53241470588235285</v>
      </c>
      <c r="Q83" s="34">
        <f t="shared" si="13"/>
        <v>0.6022935779816514</v>
      </c>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2:45" x14ac:dyDescent="0.3">
      <c r="B84" s="42">
        <v>42461</v>
      </c>
      <c r="C84" s="37">
        <f t="shared" si="10"/>
        <v>15.481382215833243</v>
      </c>
      <c r="D84" s="37">
        <f t="shared" si="11"/>
        <v>15.70852346299114</v>
      </c>
      <c r="E84" s="35"/>
      <c r="F84" s="38">
        <v>1850</v>
      </c>
      <c r="G84" s="38">
        <v>1200</v>
      </c>
      <c r="H84" s="37">
        <f t="shared" si="7"/>
        <v>7.9563952054456664</v>
      </c>
      <c r="I84" s="37">
        <f t="shared" si="8"/>
        <v>0.34215118949205475</v>
      </c>
      <c r="J84" s="37">
        <f t="shared" si="9"/>
        <v>7.1828358208955221</v>
      </c>
      <c r="K84" s="35"/>
      <c r="L84" s="38">
        <v>1675</v>
      </c>
      <c r="M84" s="38">
        <v>434.83327400000002</v>
      </c>
      <c r="N84" s="38">
        <v>1550</v>
      </c>
      <c r="O84" s="37">
        <v>14.548387096774194</v>
      </c>
      <c r="P84" s="37">
        <f t="shared" si="12"/>
        <v>0.55784278823529421</v>
      </c>
      <c r="Q84" s="37">
        <f t="shared" si="13"/>
        <v>0.6022935779816514</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2:45" x14ac:dyDescent="0.3">
      <c r="B85" s="41">
        <v>42491</v>
      </c>
      <c r="C85" s="34">
        <f t="shared" si="10"/>
        <v>16.833980380126658</v>
      </c>
      <c r="D85" s="34">
        <f t="shared" si="11"/>
        <v>16.554852746428633</v>
      </c>
      <c r="E85" s="35"/>
      <c r="F85" s="36">
        <v>2025</v>
      </c>
      <c r="G85" s="36">
        <v>1250</v>
      </c>
      <c r="H85" s="34">
        <f t="shared" si="7"/>
        <v>8.8196122922113158</v>
      </c>
      <c r="I85" s="34">
        <f t="shared" si="8"/>
        <v>0.36511435657205843</v>
      </c>
      <c r="J85" s="34">
        <f t="shared" si="9"/>
        <v>7.6492537313432836</v>
      </c>
      <c r="K85" s="35"/>
      <c r="L85" s="36">
        <v>1750</v>
      </c>
      <c r="M85" s="36">
        <v>427.96568900000005</v>
      </c>
      <c r="N85" s="36">
        <v>1725</v>
      </c>
      <c r="O85" s="34">
        <v>15.35483870967742</v>
      </c>
      <c r="P85" s="34">
        <f t="shared" si="12"/>
        <v>0.51744522941176507</v>
      </c>
      <c r="Q85" s="34">
        <f t="shared" si="13"/>
        <v>0.68256880733944958</v>
      </c>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2:45" x14ac:dyDescent="0.3">
      <c r="B86" s="42">
        <v>42522</v>
      </c>
      <c r="C86" s="37">
        <f t="shared" si="10"/>
        <v>18.926478904504911</v>
      </c>
      <c r="D86" s="37">
        <f t="shared" si="11"/>
        <v>19.632401787658488</v>
      </c>
      <c r="E86" s="35"/>
      <c r="F86" s="38">
        <v>2350</v>
      </c>
      <c r="G86" s="38">
        <v>1300</v>
      </c>
      <c r="H86" s="37">
        <f t="shared" si="7"/>
        <v>10.422729739061806</v>
      </c>
      <c r="I86" s="37">
        <f t="shared" si="8"/>
        <v>0.38807752365206211</v>
      </c>
      <c r="J86" s="37">
        <f t="shared" si="9"/>
        <v>8.1156716417910442</v>
      </c>
      <c r="K86" s="35"/>
      <c r="L86" s="38">
        <v>2000</v>
      </c>
      <c r="M86" s="38">
        <v>468.815742</v>
      </c>
      <c r="N86" s="38">
        <v>2050</v>
      </c>
      <c r="O86" s="37">
        <v>18.043010752688172</v>
      </c>
      <c r="P86" s="37">
        <f t="shared" si="12"/>
        <v>0.75773965882352934</v>
      </c>
      <c r="Q86" s="37">
        <f t="shared" si="13"/>
        <v>0.83165137614678897</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2:45" x14ac:dyDescent="0.3">
      <c r="B87" s="41">
        <v>42552</v>
      </c>
      <c r="C87" s="34">
        <f t="shared" si="10"/>
        <v>23.350337748232114</v>
      </c>
      <c r="D87" s="34">
        <f t="shared" si="11"/>
        <v>23.548068143318886</v>
      </c>
      <c r="E87" s="35"/>
      <c r="F87" s="36">
        <v>2850</v>
      </c>
      <c r="G87" s="36">
        <v>1500</v>
      </c>
      <c r="H87" s="34">
        <f t="shared" si="7"/>
        <v>12.889064272677945</v>
      </c>
      <c r="I87" s="34">
        <f t="shared" si="8"/>
        <v>0.47993019197207681</v>
      </c>
      <c r="J87" s="34">
        <f t="shared" si="9"/>
        <v>9.9813432835820901</v>
      </c>
      <c r="K87" s="35"/>
      <c r="L87" s="36">
        <v>2300</v>
      </c>
      <c r="M87" s="36">
        <v>547.10110000000009</v>
      </c>
      <c r="N87" s="36">
        <v>2550</v>
      </c>
      <c r="O87" s="34">
        <v>21.268817204301076</v>
      </c>
      <c r="P87" s="34">
        <f t="shared" si="12"/>
        <v>1.2182417647058827</v>
      </c>
      <c r="Q87" s="34">
        <f t="shared" si="13"/>
        <v>1.0610091743119265</v>
      </c>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2:45" x14ac:dyDescent="0.3">
      <c r="B88" s="42">
        <v>42583</v>
      </c>
      <c r="C88" s="37">
        <f t="shared" si="10"/>
        <v>26.008538883663896</v>
      </c>
      <c r="D88" s="37">
        <f t="shared" si="11"/>
        <v>28.02133798912487</v>
      </c>
      <c r="E88" s="35"/>
      <c r="F88" s="38">
        <v>3250</v>
      </c>
      <c r="G88" s="38">
        <v>1570</v>
      </c>
      <c r="H88" s="37">
        <f t="shared" si="7"/>
        <v>14.862131899570858</v>
      </c>
      <c r="I88" s="37">
        <f t="shared" si="8"/>
        <v>0.51207862588408193</v>
      </c>
      <c r="J88" s="37">
        <f t="shared" si="9"/>
        <v>10.634328358208956</v>
      </c>
      <c r="K88" s="35"/>
      <c r="L88" s="38">
        <v>2650</v>
      </c>
      <c r="M88" s="38">
        <v>636.57936700000005</v>
      </c>
      <c r="N88" s="38">
        <v>2950</v>
      </c>
      <c r="O88" s="37">
        <v>25.032258064516128</v>
      </c>
      <c r="P88" s="37">
        <f t="shared" si="12"/>
        <v>1.7445845117647063</v>
      </c>
      <c r="Q88" s="37">
        <f t="shared" si="13"/>
        <v>1.2444954128440366</v>
      </c>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2:45" x14ac:dyDescent="0.3">
      <c r="B89" s="41">
        <v>42614</v>
      </c>
      <c r="C89" s="34">
        <f t="shared" si="10"/>
        <v>28.467101758889111</v>
      </c>
      <c r="D89" s="34">
        <f t="shared" si="11"/>
        <v>32.400328853349698</v>
      </c>
      <c r="E89" s="35"/>
      <c r="F89" s="36">
        <v>3550</v>
      </c>
      <c r="G89" s="36">
        <v>1670</v>
      </c>
      <c r="H89" s="34">
        <f t="shared" si="7"/>
        <v>16.341932619740543</v>
      </c>
      <c r="I89" s="34">
        <f t="shared" si="8"/>
        <v>0.55800496004408928</v>
      </c>
      <c r="J89" s="34">
        <f t="shared" si="9"/>
        <v>11.567164179104477</v>
      </c>
      <c r="K89" s="35"/>
      <c r="L89" s="36">
        <v>2975</v>
      </c>
      <c r="M89" s="36">
        <v>763.52729699999998</v>
      </c>
      <c r="N89" s="36">
        <v>3250</v>
      </c>
      <c r="O89" s="34">
        <v>28.526881720430108</v>
      </c>
      <c r="P89" s="34">
        <f t="shared" si="12"/>
        <v>2.4913370411764704</v>
      </c>
      <c r="Q89" s="34">
        <f t="shared" si="13"/>
        <v>1.3821100917431193</v>
      </c>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2:45" x14ac:dyDescent="0.3">
      <c r="B90" s="42">
        <v>42644</v>
      </c>
      <c r="C90" s="37">
        <f t="shared" si="10"/>
        <v>31.313283666941068</v>
      </c>
      <c r="D90" s="37">
        <f t="shared" si="11"/>
        <v>33.946231248959833</v>
      </c>
      <c r="E90" s="35"/>
      <c r="F90" s="38">
        <v>3750</v>
      </c>
      <c r="G90" s="38">
        <v>1860</v>
      </c>
      <c r="H90" s="37">
        <f t="shared" si="7"/>
        <v>17.328466433186996</v>
      </c>
      <c r="I90" s="37">
        <f t="shared" si="8"/>
        <v>0.64526499494810319</v>
      </c>
      <c r="J90" s="37">
        <f t="shared" si="9"/>
        <v>13.33955223880597</v>
      </c>
      <c r="K90" s="35"/>
      <c r="L90" s="38">
        <v>3070</v>
      </c>
      <c r="M90" s="38">
        <v>837.07845999999995</v>
      </c>
      <c r="N90" s="38">
        <v>3450</v>
      </c>
      <c r="O90" s="37">
        <v>29.548387096774192</v>
      </c>
      <c r="P90" s="37">
        <f t="shared" si="12"/>
        <v>2.9239909411764704</v>
      </c>
      <c r="Q90" s="37">
        <f t="shared" si="13"/>
        <v>1.4738532110091742</v>
      </c>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2:45" x14ac:dyDescent="0.3">
      <c r="B91" s="41">
        <v>42675</v>
      </c>
      <c r="C91" s="34">
        <f t="shared" si="10"/>
        <v>31.462040904797135</v>
      </c>
      <c r="D91" s="34">
        <f t="shared" si="11"/>
        <v>33.682872851673253</v>
      </c>
      <c r="E91" s="35"/>
      <c r="F91" s="36">
        <v>3800</v>
      </c>
      <c r="G91" s="36">
        <v>1850</v>
      </c>
      <c r="H91" s="34">
        <f t="shared" si="7"/>
        <v>17.57509988654861</v>
      </c>
      <c r="I91" s="34">
        <f t="shared" si="8"/>
        <v>0.6406723615321025</v>
      </c>
      <c r="J91" s="34">
        <f t="shared" si="9"/>
        <v>13.246268656716419</v>
      </c>
      <c r="K91" s="35"/>
      <c r="L91" s="36">
        <v>3080</v>
      </c>
      <c r="M91" s="36">
        <v>770.12887999999998</v>
      </c>
      <c r="N91" s="36">
        <v>3500</v>
      </c>
      <c r="O91" s="34">
        <v>29.655913978494624</v>
      </c>
      <c r="P91" s="34">
        <f t="shared" si="12"/>
        <v>2.5301698823529413</v>
      </c>
      <c r="Q91" s="34">
        <f t="shared" si="13"/>
        <v>1.4967889908256882</v>
      </c>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2:45" x14ac:dyDescent="0.3">
      <c r="B92" s="42">
        <v>42705</v>
      </c>
      <c r="C92" s="37">
        <f t="shared" si="10"/>
        <v>30.968773998073907</v>
      </c>
      <c r="D92" s="37">
        <f t="shared" si="11"/>
        <v>33.536941374393166</v>
      </c>
      <c r="E92" s="35"/>
      <c r="F92" s="38">
        <v>3700</v>
      </c>
      <c r="G92" s="38">
        <v>1850</v>
      </c>
      <c r="H92" s="37">
        <f t="shared" si="7"/>
        <v>17.081832979825382</v>
      </c>
      <c r="I92" s="37">
        <f t="shared" si="8"/>
        <v>0.6406723615321025</v>
      </c>
      <c r="J92" s="37">
        <f t="shared" si="9"/>
        <v>13.246268656716419</v>
      </c>
      <c r="K92" s="35"/>
      <c r="L92" s="38">
        <v>3080</v>
      </c>
      <c r="M92" s="38">
        <v>753.118694</v>
      </c>
      <c r="N92" s="38">
        <v>3400</v>
      </c>
      <c r="O92" s="37">
        <v>29.655913978494624</v>
      </c>
      <c r="P92" s="37">
        <f t="shared" si="12"/>
        <v>2.4301099647058826</v>
      </c>
      <c r="Q92" s="37">
        <f t="shared" si="13"/>
        <v>1.4509174311926605</v>
      </c>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2:45" x14ac:dyDescent="0.3">
      <c r="B93" s="41">
        <v>42736</v>
      </c>
      <c r="C93" s="34">
        <f t="shared" si="10"/>
        <v>30.475507091350678</v>
      </c>
      <c r="D93" s="34">
        <f t="shared" si="11"/>
        <v>33.7112664324072</v>
      </c>
      <c r="E93" s="35"/>
      <c r="F93" s="36">
        <v>3600</v>
      </c>
      <c r="G93" s="36">
        <v>1850</v>
      </c>
      <c r="H93" s="34">
        <f t="shared" si="7"/>
        <v>16.588566073102154</v>
      </c>
      <c r="I93" s="34">
        <f t="shared" si="8"/>
        <v>0.6406723615321025</v>
      </c>
      <c r="J93" s="34">
        <f t="shared" si="9"/>
        <v>13.246268656716419</v>
      </c>
      <c r="K93" s="35"/>
      <c r="L93" s="36">
        <v>3080</v>
      </c>
      <c r="M93" s="36">
        <v>790.55211899999995</v>
      </c>
      <c r="N93" s="36">
        <v>3300</v>
      </c>
      <c r="O93" s="34">
        <v>29.655913978494624</v>
      </c>
      <c r="P93" s="34">
        <f t="shared" si="12"/>
        <v>2.650306582352941</v>
      </c>
      <c r="Q93" s="34">
        <f t="shared" si="13"/>
        <v>1.405045871559633</v>
      </c>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2:45" x14ac:dyDescent="0.3">
      <c r="B94" s="42">
        <v>42767</v>
      </c>
      <c r="C94" s="37">
        <f t="shared" si="10"/>
        <v>28.267463498682538</v>
      </c>
      <c r="D94" s="37">
        <f t="shared" si="11"/>
        <v>32.275608595297946</v>
      </c>
      <c r="E94" s="35"/>
      <c r="F94" s="38">
        <v>3450</v>
      </c>
      <c r="G94" s="38">
        <v>1700</v>
      </c>
      <c r="H94" s="37">
        <f t="shared" si="7"/>
        <v>15.848665713017313</v>
      </c>
      <c r="I94" s="37">
        <f t="shared" si="8"/>
        <v>0.57178286029209147</v>
      </c>
      <c r="J94" s="37">
        <f t="shared" si="9"/>
        <v>11.847014925373134</v>
      </c>
      <c r="K94" s="35"/>
      <c r="L94" s="38">
        <v>2950</v>
      </c>
      <c r="M94" s="38">
        <v>795.82194300000003</v>
      </c>
      <c r="N94" s="38">
        <v>3150</v>
      </c>
      <c r="O94" s="37">
        <v>28.258064516129032</v>
      </c>
      <c r="P94" s="37">
        <f t="shared" si="12"/>
        <v>2.6813055470588236</v>
      </c>
      <c r="Q94" s="37">
        <f t="shared" si="13"/>
        <v>1.3362385321100918</v>
      </c>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2:45" x14ac:dyDescent="0.3">
      <c r="B95" s="41">
        <v>42795</v>
      </c>
      <c r="C95" s="34">
        <f t="shared" si="10"/>
        <v>27.7858540795457</v>
      </c>
      <c r="D95" s="34">
        <f t="shared" si="11"/>
        <v>32.083405247138316</v>
      </c>
      <c r="E95" s="35"/>
      <c r="F95" s="36">
        <v>3650</v>
      </c>
      <c r="G95" s="36">
        <v>1550</v>
      </c>
      <c r="H95" s="34">
        <f t="shared" si="7"/>
        <v>16.835199526463768</v>
      </c>
      <c r="I95" s="34">
        <f t="shared" si="8"/>
        <v>0.50289335905208044</v>
      </c>
      <c r="J95" s="34">
        <f t="shared" si="9"/>
        <v>10.447761194029852</v>
      </c>
      <c r="K95" s="35"/>
      <c r="L95" s="36">
        <v>2900</v>
      </c>
      <c r="M95" s="36">
        <v>838.948893</v>
      </c>
      <c r="N95" s="36">
        <v>3350</v>
      </c>
      <c r="O95" s="34">
        <v>27.72043010752688</v>
      </c>
      <c r="P95" s="34">
        <f t="shared" si="12"/>
        <v>2.9349934882352944</v>
      </c>
      <c r="Q95" s="34">
        <f t="shared" si="13"/>
        <v>1.4279816513761467</v>
      </c>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2:45" x14ac:dyDescent="0.3">
      <c r="B96" s="42">
        <v>42826</v>
      </c>
      <c r="C96" s="37">
        <f t="shared" si="10"/>
        <v>27.666423182060356</v>
      </c>
      <c r="D96" s="37">
        <f t="shared" si="11"/>
        <v>31.787843183150255</v>
      </c>
      <c r="E96" s="35"/>
      <c r="F96" s="38">
        <v>3725</v>
      </c>
      <c r="G96" s="38">
        <v>1500</v>
      </c>
      <c r="H96" s="37">
        <f t="shared" si="7"/>
        <v>17.205149706506191</v>
      </c>
      <c r="I96" s="37">
        <f t="shared" si="8"/>
        <v>0.47993019197207681</v>
      </c>
      <c r="J96" s="37">
        <f t="shared" si="9"/>
        <v>9.9813432835820901</v>
      </c>
      <c r="K96" s="35"/>
      <c r="L96" s="38">
        <v>2875</v>
      </c>
      <c r="M96" s="38">
        <v>828.55364299999997</v>
      </c>
      <c r="N96" s="38">
        <v>3425</v>
      </c>
      <c r="O96" s="37">
        <v>27.451612903225808</v>
      </c>
      <c r="P96" s="37">
        <f t="shared" si="12"/>
        <v>2.8738449588235291</v>
      </c>
      <c r="Q96" s="37">
        <f t="shared" si="13"/>
        <v>1.4623853211009175</v>
      </c>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2:45" x14ac:dyDescent="0.3">
      <c r="B97" s="41">
        <v>42856</v>
      </c>
      <c r="C97" s="34">
        <f t="shared" si="10"/>
        <v>30.992088973246684</v>
      </c>
      <c r="D97" s="34">
        <f t="shared" si="11"/>
        <v>33.295883109420934</v>
      </c>
      <c r="E97" s="35"/>
      <c r="F97" s="36">
        <v>4300</v>
      </c>
      <c r="G97" s="36">
        <v>1550</v>
      </c>
      <c r="H97" s="34">
        <f t="shared" si="7"/>
        <v>20.041434420164752</v>
      </c>
      <c r="I97" s="34">
        <f t="shared" si="8"/>
        <v>0.50289335905208044</v>
      </c>
      <c r="J97" s="34">
        <f t="shared" si="9"/>
        <v>10.447761194029852</v>
      </c>
      <c r="K97" s="35"/>
      <c r="L97" s="36">
        <v>2975</v>
      </c>
      <c r="M97" s="36">
        <v>857.28528200000005</v>
      </c>
      <c r="N97" s="36">
        <v>4000</v>
      </c>
      <c r="O97" s="34">
        <v>28.526881720430108</v>
      </c>
      <c r="P97" s="34">
        <f t="shared" si="12"/>
        <v>3.0428546000000005</v>
      </c>
      <c r="Q97" s="34">
        <f t="shared" si="13"/>
        <v>1.7261467889908257</v>
      </c>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2:45" x14ac:dyDescent="0.3">
      <c r="B98" s="42">
        <v>42887</v>
      </c>
      <c r="C98" s="37">
        <f t="shared" si="10"/>
        <v>36.406367459615801</v>
      </c>
      <c r="D98" s="37">
        <f t="shared" si="11"/>
        <v>36.915422822032276</v>
      </c>
      <c r="E98" s="35"/>
      <c r="F98" s="38">
        <v>5100</v>
      </c>
      <c r="G98" s="38">
        <v>1700</v>
      </c>
      <c r="H98" s="37">
        <f t="shared" si="7"/>
        <v>23.987569673950574</v>
      </c>
      <c r="I98" s="37">
        <f t="shared" si="8"/>
        <v>0.57178286029209147</v>
      </c>
      <c r="J98" s="37">
        <f t="shared" si="9"/>
        <v>11.847014925373134</v>
      </c>
      <c r="K98" s="35"/>
      <c r="L98" s="38">
        <v>3250</v>
      </c>
      <c r="M98" s="38">
        <v>907.5335399999999</v>
      </c>
      <c r="N98" s="38">
        <v>4800</v>
      </c>
      <c r="O98" s="37">
        <v>31.483870967741936</v>
      </c>
      <c r="P98" s="37">
        <f t="shared" si="12"/>
        <v>3.3384325882352934</v>
      </c>
      <c r="Q98" s="37">
        <f t="shared" si="13"/>
        <v>2.0931192660550457</v>
      </c>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2:45" x14ac:dyDescent="0.3">
      <c r="B99" s="41">
        <v>42917</v>
      </c>
      <c r="C99" s="34">
        <f t="shared" si="10"/>
        <v>36.71243075955794</v>
      </c>
      <c r="D99" s="34">
        <f t="shared" si="11"/>
        <v>37.137589192048345</v>
      </c>
      <c r="E99" s="35"/>
      <c r="F99" s="36">
        <v>5420</v>
      </c>
      <c r="G99" s="36">
        <v>1570</v>
      </c>
      <c r="H99" s="34">
        <f t="shared" si="7"/>
        <v>25.566023775464902</v>
      </c>
      <c r="I99" s="34">
        <f t="shared" si="8"/>
        <v>0.51207862588408193</v>
      </c>
      <c r="J99" s="34">
        <f t="shared" si="9"/>
        <v>10.634328358208956</v>
      </c>
      <c r="K99" s="35"/>
      <c r="L99" s="36">
        <v>3300</v>
      </c>
      <c r="M99" s="36">
        <v>828.9498450000001</v>
      </c>
      <c r="N99" s="36">
        <v>5120</v>
      </c>
      <c r="O99" s="34">
        <v>32.021505376344088</v>
      </c>
      <c r="P99" s="34">
        <f t="shared" si="12"/>
        <v>2.8761755588235296</v>
      </c>
      <c r="Q99" s="34">
        <f t="shared" si="13"/>
        <v>2.2399082568807338</v>
      </c>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2:45" x14ac:dyDescent="0.3">
      <c r="B100" s="42">
        <v>42948</v>
      </c>
      <c r="C100" s="37">
        <f t="shared" si="10"/>
        <v>40.1175267476264</v>
      </c>
      <c r="D100" s="37">
        <f t="shared" si="11"/>
        <v>38.698417216521882</v>
      </c>
      <c r="E100" s="35"/>
      <c r="F100" s="38">
        <v>6150</v>
      </c>
      <c r="G100" s="38">
        <v>1550</v>
      </c>
      <c r="H100" s="37">
        <f t="shared" si="7"/>
        <v>29.166872194544467</v>
      </c>
      <c r="I100" s="37">
        <f t="shared" si="8"/>
        <v>0.50289335905208044</v>
      </c>
      <c r="J100" s="37">
        <f t="shared" si="9"/>
        <v>10.447761194029852</v>
      </c>
      <c r="K100" s="35"/>
      <c r="L100" s="38">
        <v>3425</v>
      </c>
      <c r="M100" s="38">
        <v>808.86937999999998</v>
      </c>
      <c r="N100" s="38">
        <v>5850</v>
      </c>
      <c r="O100" s="37">
        <v>33.365591397849464</v>
      </c>
      <c r="P100" s="37">
        <f t="shared" si="12"/>
        <v>2.7580551764705881</v>
      </c>
      <c r="Q100" s="37">
        <f t="shared" si="13"/>
        <v>2.5747706422018348</v>
      </c>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2:45" x14ac:dyDescent="0.3">
      <c r="B101" s="41">
        <v>42979</v>
      </c>
      <c r="C101" s="34">
        <f t="shared" si="10"/>
        <v>39.872836208862516</v>
      </c>
      <c r="D101" s="34">
        <f t="shared" si="11"/>
        <v>38.484988185528842</v>
      </c>
      <c r="E101" s="35"/>
      <c r="F101" s="36">
        <v>6150</v>
      </c>
      <c r="G101" s="36">
        <v>1525</v>
      </c>
      <c r="H101" s="34">
        <f t="shared" si="7"/>
        <v>29.166872194544467</v>
      </c>
      <c r="I101" s="34">
        <f t="shared" si="8"/>
        <v>0.49141177551207865</v>
      </c>
      <c r="J101" s="34">
        <f t="shared" si="9"/>
        <v>10.21455223880597</v>
      </c>
      <c r="K101" s="35"/>
      <c r="L101" s="36">
        <v>3450</v>
      </c>
      <c r="M101" s="36">
        <v>726.88751999999999</v>
      </c>
      <c r="N101" s="36">
        <v>5850</v>
      </c>
      <c r="O101" s="34">
        <v>33.634408602150536</v>
      </c>
      <c r="P101" s="34">
        <f t="shared" si="12"/>
        <v>2.2758089411764706</v>
      </c>
      <c r="Q101" s="34">
        <f t="shared" si="13"/>
        <v>2.5747706422018348</v>
      </c>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2:45" x14ac:dyDescent="0.3">
      <c r="B102" s="42">
        <v>43009</v>
      </c>
      <c r="C102" s="37">
        <f t="shared" si="10"/>
        <v>32.734066463559827</v>
      </c>
      <c r="D102" s="37">
        <f t="shared" si="11"/>
        <v>36.605212529059528</v>
      </c>
      <c r="E102" s="35"/>
      <c r="F102" s="38">
        <v>5050</v>
      </c>
      <c r="G102" s="38">
        <v>1350</v>
      </c>
      <c r="H102" s="37">
        <f t="shared" si="7"/>
        <v>23.74093622058896</v>
      </c>
      <c r="I102" s="37">
        <f t="shared" si="8"/>
        <v>0.41104069073206578</v>
      </c>
      <c r="J102" s="37">
        <f t="shared" si="9"/>
        <v>8.5820895522388057</v>
      </c>
      <c r="K102" s="35"/>
      <c r="L102" s="38">
        <v>3365</v>
      </c>
      <c r="M102" s="38">
        <v>648.48181899999997</v>
      </c>
      <c r="N102" s="38">
        <v>4750</v>
      </c>
      <c r="O102" s="37">
        <v>32.72043010752688</v>
      </c>
      <c r="P102" s="37">
        <f t="shared" si="12"/>
        <v>1.8145989352941174</v>
      </c>
      <c r="Q102" s="37">
        <f t="shared" si="13"/>
        <v>2.0701834862385322</v>
      </c>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2:45" x14ac:dyDescent="0.3">
      <c r="B103" s="41">
        <v>43040</v>
      </c>
      <c r="C103" s="34">
        <f t="shared" si="10"/>
        <v>29.238088752537656</v>
      </c>
      <c r="D103" s="34">
        <f t="shared" si="11"/>
        <v>34.860941492697108</v>
      </c>
      <c r="E103" s="35"/>
      <c r="F103" s="36">
        <v>4500</v>
      </c>
      <c r="G103" s="36">
        <v>1270</v>
      </c>
      <c r="H103" s="34">
        <f t="shared" si="7"/>
        <v>21.027968233611208</v>
      </c>
      <c r="I103" s="34">
        <f t="shared" si="8"/>
        <v>0.37429962340405987</v>
      </c>
      <c r="J103" s="34">
        <f t="shared" si="9"/>
        <v>7.8358208955223878</v>
      </c>
      <c r="K103" s="35"/>
      <c r="L103" s="36">
        <v>3265</v>
      </c>
      <c r="M103" s="36">
        <v>577.64134999999999</v>
      </c>
      <c r="N103" s="36">
        <v>4200</v>
      </c>
      <c r="O103" s="34">
        <v>31.64516129032258</v>
      </c>
      <c r="P103" s="34">
        <f t="shared" si="12"/>
        <v>1.397890294117647</v>
      </c>
      <c r="Q103" s="34">
        <f t="shared" si="13"/>
        <v>1.8178899082568807</v>
      </c>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2:45" x14ac:dyDescent="0.3">
      <c r="B104" s="42">
        <v>43070</v>
      </c>
      <c r="C104" s="37">
        <f t="shared" si="10"/>
        <v>26.380249356899306</v>
      </c>
      <c r="D104" s="37">
        <f t="shared" si="11"/>
        <v>31.866863128940576</v>
      </c>
      <c r="E104" s="35"/>
      <c r="F104" s="38">
        <v>4000</v>
      </c>
      <c r="G104" s="38">
        <v>1230</v>
      </c>
      <c r="H104" s="37">
        <f t="shared" si="7"/>
        <v>18.561633699995067</v>
      </c>
      <c r="I104" s="37">
        <f t="shared" si="8"/>
        <v>0.35592908974005694</v>
      </c>
      <c r="J104" s="37">
        <f t="shared" si="9"/>
        <v>7.4626865671641793</v>
      </c>
      <c r="K104" s="35"/>
      <c r="L104" s="38">
        <v>3000</v>
      </c>
      <c r="M104" s="38">
        <v>592.04745600000001</v>
      </c>
      <c r="N104" s="38">
        <v>3700</v>
      </c>
      <c r="O104" s="37">
        <v>28.795698924731184</v>
      </c>
      <c r="P104" s="37">
        <f t="shared" si="12"/>
        <v>1.4826320941176472</v>
      </c>
      <c r="Q104" s="37">
        <f t="shared" si="13"/>
        <v>1.5885321100917431</v>
      </c>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2:45" x14ac:dyDescent="0.3">
      <c r="B105" s="41">
        <v>43101</v>
      </c>
      <c r="C105" s="34">
        <f t="shared" si="10"/>
        <v>24.018008365501458</v>
      </c>
      <c r="D105" s="34">
        <f t="shared" si="11"/>
        <v>30.101141976852418</v>
      </c>
      <c r="E105" s="35"/>
      <c r="F105" s="36">
        <v>3660</v>
      </c>
      <c r="G105" s="36">
        <v>1160</v>
      </c>
      <c r="H105" s="34">
        <f t="shared" si="7"/>
        <v>16.884526217136091</v>
      </c>
      <c r="I105" s="34">
        <f t="shared" si="8"/>
        <v>0.32378065582805182</v>
      </c>
      <c r="J105" s="34">
        <f t="shared" si="9"/>
        <v>6.8097014925373136</v>
      </c>
      <c r="K105" s="35"/>
      <c r="L105" s="36">
        <v>2850</v>
      </c>
      <c r="M105" s="36">
        <v>592.58217000000002</v>
      </c>
      <c r="N105" s="36">
        <v>3360</v>
      </c>
      <c r="O105" s="34">
        <v>27.182795698924732</v>
      </c>
      <c r="P105" s="34">
        <f t="shared" si="12"/>
        <v>1.4857774705882354</v>
      </c>
      <c r="Q105" s="34">
        <f t="shared" si="13"/>
        <v>1.4325688073394496</v>
      </c>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2:45" x14ac:dyDescent="0.3">
      <c r="B106" s="42">
        <v>43132</v>
      </c>
      <c r="C106" s="37">
        <f t="shared" si="10"/>
        <v>26.88128792201346</v>
      </c>
      <c r="D106" s="37">
        <f t="shared" si="11"/>
        <v>31.302838041995251</v>
      </c>
      <c r="E106" s="35"/>
      <c r="F106" s="38">
        <v>4300</v>
      </c>
      <c r="G106" s="38">
        <v>1130</v>
      </c>
      <c r="H106" s="37">
        <f t="shared" si="7"/>
        <v>20.041434420164752</v>
      </c>
      <c r="I106" s="37">
        <f t="shared" si="8"/>
        <v>0.31000275558004958</v>
      </c>
      <c r="J106" s="37">
        <f t="shared" si="9"/>
        <v>6.5298507462686564</v>
      </c>
      <c r="K106" s="35"/>
      <c r="L106" s="38">
        <v>2925</v>
      </c>
      <c r="M106" s="38">
        <v>609.86546999999996</v>
      </c>
      <c r="N106" s="38">
        <v>4000</v>
      </c>
      <c r="O106" s="37">
        <v>27.989247311827956</v>
      </c>
      <c r="P106" s="37">
        <f t="shared" si="12"/>
        <v>1.5874439411764703</v>
      </c>
      <c r="Q106" s="37">
        <f t="shared" si="13"/>
        <v>1.7261467889908257</v>
      </c>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2:45" x14ac:dyDescent="0.3">
      <c r="B107" s="41">
        <v>43160</v>
      </c>
      <c r="C107" s="34">
        <f t="shared" si="10"/>
        <v>26.682426827645983</v>
      </c>
      <c r="D107" s="34">
        <f t="shared" si="11"/>
        <v>31.049760237046577</v>
      </c>
      <c r="E107" s="35"/>
      <c r="F107" s="36">
        <v>4220</v>
      </c>
      <c r="G107" s="36">
        <v>1150</v>
      </c>
      <c r="H107" s="34">
        <f t="shared" si="7"/>
        <v>19.64682089478617</v>
      </c>
      <c r="I107" s="34">
        <f t="shared" si="8"/>
        <v>0.31918802241205108</v>
      </c>
      <c r="J107" s="34">
        <f t="shared" si="9"/>
        <v>6.7164179104477615</v>
      </c>
      <c r="K107" s="35"/>
      <c r="L107" s="36">
        <v>2900</v>
      </c>
      <c r="M107" s="36">
        <v>618.77969999999993</v>
      </c>
      <c r="N107" s="36">
        <v>3920</v>
      </c>
      <c r="O107" s="34">
        <v>27.72043010752688</v>
      </c>
      <c r="P107" s="34">
        <f t="shared" si="12"/>
        <v>1.6398805882352938</v>
      </c>
      <c r="Q107" s="34">
        <f t="shared" si="13"/>
        <v>1.6894495412844037</v>
      </c>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2:45" x14ac:dyDescent="0.3">
      <c r="B108" s="42">
        <v>43191</v>
      </c>
      <c r="C108" s="37">
        <f>H108+I108+J108</f>
        <v>28.901739324980959</v>
      </c>
      <c r="D108" s="37">
        <f t="shared" si="11"/>
        <v>31.38103890404923</v>
      </c>
      <c r="E108" s="35"/>
      <c r="F108" s="38">
        <v>4660</v>
      </c>
      <c r="G108" s="38">
        <v>1155</v>
      </c>
      <c r="H108" s="37">
        <f t="shared" si="7"/>
        <v>21.817195284368371</v>
      </c>
      <c r="I108" s="37">
        <f t="shared" si="8"/>
        <v>0.32148433912005142</v>
      </c>
      <c r="J108" s="37">
        <f t="shared" si="9"/>
        <v>6.7630597014925371</v>
      </c>
      <c r="K108" s="35"/>
      <c r="L108" s="38">
        <v>2920</v>
      </c>
      <c r="M108" s="38">
        <v>604.22600699999998</v>
      </c>
      <c r="N108" s="38">
        <v>4360</v>
      </c>
      <c r="O108" s="37">
        <v>27.93548387096774</v>
      </c>
      <c r="P108" s="37">
        <f t="shared" si="12"/>
        <v>1.5542706294117647</v>
      </c>
      <c r="Q108" s="37">
        <f t="shared" si="13"/>
        <v>1.8912844036697247</v>
      </c>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row>
    <row r="109" spans="2:45" x14ac:dyDescent="0.3">
      <c r="B109" s="41">
        <v>43221</v>
      </c>
      <c r="C109" s="34">
        <f t="shared" si="10"/>
        <v>33.081684795783367</v>
      </c>
      <c r="D109" s="34">
        <f t="shared" si="11"/>
        <v>32.326630793331361</v>
      </c>
      <c r="E109" s="35"/>
      <c r="F109" s="36">
        <v>5180</v>
      </c>
      <c r="G109" s="36">
        <v>1320</v>
      </c>
      <c r="H109" s="34">
        <f t="shared" si="7"/>
        <v>24.382183199329155</v>
      </c>
      <c r="I109" s="34">
        <f t="shared" si="8"/>
        <v>0.39726279048406354</v>
      </c>
      <c r="J109" s="34">
        <f t="shared" si="9"/>
        <v>8.3022388059701484</v>
      </c>
      <c r="K109" s="35"/>
      <c r="L109" s="36">
        <v>2970</v>
      </c>
      <c r="M109" s="36">
        <v>633.02832000000001</v>
      </c>
      <c r="N109" s="36">
        <v>4880</v>
      </c>
      <c r="O109" s="34">
        <v>28.473118279569892</v>
      </c>
      <c r="P109" s="34">
        <f t="shared" si="12"/>
        <v>1.7236960000000001</v>
      </c>
      <c r="Q109" s="34">
        <f t="shared" si="13"/>
        <v>2.129816513761468</v>
      </c>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row>
    <row r="110" spans="2:45" x14ac:dyDescent="0.3">
      <c r="B110" s="42">
        <v>43252</v>
      </c>
      <c r="C110" s="37">
        <f t="shared" si="10"/>
        <v>33.226556204443973</v>
      </c>
      <c r="D110" s="37">
        <f t="shared" si="11"/>
        <v>32.77453848220555</v>
      </c>
      <c r="E110" s="35"/>
      <c r="F110" s="38">
        <v>5130</v>
      </c>
      <c r="G110" s="38">
        <v>1360</v>
      </c>
      <c r="H110" s="37">
        <f t="shared" si="7"/>
        <v>24.135549745967545</v>
      </c>
      <c r="I110" s="37">
        <f t="shared" si="8"/>
        <v>0.41563332414806647</v>
      </c>
      <c r="J110" s="37">
        <f t="shared" si="9"/>
        <v>8.6753731343283587</v>
      </c>
      <c r="K110" s="35"/>
      <c r="L110" s="38">
        <v>3000</v>
      </c>
      <c r="M110" s="38">
        <v>658.23299999999995</v>
      </c>
      <c r="N110" s="38">
        <v>4830</v>
      </c>
      <c r="O110" s="37">
        <v>28.795698924731184</v>
      </c>
      <c r="P110" s="37">
        <f t="shared" si="12"/>
        <v>1.8719588235294116</v>
      </c>
      <c r="Q110" s="37">
        <f t="shared" si="13"/>
        <v>2.106880733944954</v>
      </c>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2:45" x14ac:dyDescent="0.3">
      <c r="B111" s="41">
        <v>43282</v>
      </c>
      <c r="C111" s="34">
        <f t="shared" si="10"/>
        <v>31.797636506624794</v>
      </c>
      <c r="D111" s="34">
        <f t="shared" si="11"/>
        <v>33.37016899172513</v>
      </c>
      <c r="E111" s="35"/>
      <c r="F111" s="36">
        <v>4880</v>
      </c>
      <c r="G111" s="36">
        <v>1340</v>
      </c>
      <c r="H111" s="34">
        <f t="shared" si="7"/>
        <v>22.902382479159474</v>
      </c>
      <c r="I111" s="34">
        <f t="shared" si="8"/>
        <v>0.40644805731606504</v>
      </c>
      <c r="J111" s="34">
        <f t="shared" si="9"/>
        <v>8.4888059701492544</v>
      </c>
      <c r="K111" s="35"/>
      <c r="L111" s="36">
        <v>3050</v>
      </c>
      <c r="M111" s="36">
        <v>687.58775000000003</v>
      </c>
      <c r="N111" s="36">
        <v>4580</v>
      </c>
      <c r="O111" s="34">
        <v>29.333333333333332</v>
      </c>
      <c r="P111" s="34">
        <f t="shared" si="12"/>
        <v>2.0446338235294119</v>
      </c>
      <c r="Q111" s="34">
        <f t="shared" si="13"/>
        <v>1.9922018348623853</v>
      </c>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2:45" x14ac:dyDescent="0.3">
      <c r="B112" s="42">
        <v>43313</v>
      </c>
      <c r="C112" s="37">
        <f t="shared" si="10"/>
        <v>33.175675182093457</v>
      </c>
      <c r="D112" s="37">
        <f t="shared" si="11"/>
        <v>33.619409101187259</v>
      </c>
      <c r="E112" s="35"/>
      <c r="F112" s="38">
        <v>5080</v>
      </c>
      <c r="G112" s="38">
        <v>1380</v>
      </c>
      <c r="H112" s="37">
        <f t="shared" si="7"/>
        <v>23.888916292605931</v>
      </c>
      <c r="I112" s="37">
        <f t="shared" si="8"/>
        <v>0.42481859098006797</v>
      </c>
      <c r="J112" s="37">
        <f t="shared" si="9"/>
        <v>8.8619402985074629</v>
      </c>
      <c r="K112" s="35"/>
      <c r="L112" s="38">
        <v>3050</v>
      </c>
      <c r="M112" s="38">
        <v>714.36223833333304</v>
      </c>
      <c r="N112" s="38">
        <v>4780</v>
      </c>
      <c r="O112" s="37">
        <v>29.333333333333332</v>
      </c>
      <c r="P112" s="37">
        <f t="shared" si="12"/>
        <v>2.2021308137254882</v>
      </c>
      <c r="Q112" s="37">
        <f t="shared" si="13"/>
        <v>2.0839449541284405</v>
      </c>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2:46" x14ac:dyDescent="0.3">
      <c r="B113" s="41">
        <v>43344</v>
      </c>
      <c r="C113" s="34">
        <f t="shared" si="10"/>
        <v>31.841523036423464</v>
      </c>
      <c r="D113" s="34">
        <f t="shared" si="11"/>
        <v>33.631101611261016</v>
      </c>
      <c r="E113" s="35"/>
      <c r="F113" s="36">
        <v>4750</v>
      </c>
      <c r="G113" s="36">
        <v>1410</v>
      </c>
      <c r="H113" s="34">
        <f t="shared" si="7"/>
        <v>22.261135500419275</v>
      </c>
      <c r="I113" s="34">
        <f t="shared" si="8"/>
        <v>0.43859649122807015</v>
      </c>
      <c r="J113" s="34">
        <f t="shared" si="9"/>
        <v>9.1417910447761201</v>
      </c>
      <c r="K113" s="35"/>
      <c r="L113" s="36">
        <v>3050</v>
      </c>
      <c r="M113" s="36">
        <v>742.08391000000006</v>
      </c>
      <c r="N113" s="36">
        <v>4450</v>
      </c>
      <c r="O113" s="34">
        <v>29.333333333333332</v>
      </c>
      <c r="P113" s="34">
        <f t="shared" si="12"/>
        <v>2.3651994705882355</v>
      </c>
      <c r="Q113" s="34">
        <f t="shared" si="13"/>
        <v>1.9325688073394496</v>
      </c>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2:46" x14ac:dyDescent="0.3">
      <c r="B114" s="42">
        <v>43374</v>
      </c>
      <c r="C114" s="37">
        <f t="shared" si="10"/>
        <v>28.341659496205825</v>
      </c>
      <c r="D114" s="37">
        <f t="shared" si="11"/>
        <v>32.664358882691246</v>
      </c>
      <c r="E114" s="35"/>
      <c r="F114" s="38">
        <v>4100</v>
      </c>
      <c r="G114" s="38">
        <v>1380</v>
      </c>
      <c r="H114" s="37">
        <f t="shared" si="7"/>
        <v>19.054900606718295</v>
      </c>
      <c r="I114" s="37">
        <f t="shared" si="8"/>
        <v>0.42481859098006797</v>
      </c>
      <c r="J114" s="37">
        <f t="shared" si="9"/>
        <v>8.8619402985074629</v>
      </c>
      <c r="K114" s="35"/>
      <c r="L114" s="38">
        <v>3000</v>
      </c>
      <c r="M114" s="38">
        <v>719.82356900000002</v>
      </c>
      <c r="N114" s="38">
        <v>3800</v>
      </c>
      <c r="O114" s="37">
        <v>28.795698924731184</v>
      </c>
      <c r="P114" s="37">
        <f t="shared" si="12"/>
        <v>2.2342562882352941</v>
      </c>
      <c r="Q114" s="37">
        <f t="shared" si="13"/>
        <v>1.6344036697247706</v>
      </c>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2:46" x14ac:dyDescent="0.3">
      <c r="B115" s="41">
        <v>43405</v>
      </c>
      <c r="C115" s="34">
        <f t="shared" si="10"/>
        <v>27.006730184696739</v>
      </c>
      <c r="D115" s="34">
        <f t="shared" si="11"/>
        <v>31.061076026948452</v>
      </c>
      <c r="E115" s="35"/>
      <c r="F115" s="36">
        <v>3750</v>
      </c>
      <c r="G115" s="36">
        <v>1420</v>
      </c>
      <c r="H115" s="34">
        <f t="shared" si="7"/>
        <v>17.328466433186996</v>
      </c>
      <c r="I115" s="34">
        <f t="shared" si="8"/>
        <v>0.4431891246440709</v>
      </c>
      <c r="J115" s="34">
        <f t="shared" si="9"/>
        <v>9.2350746268656714</v>
      </c>
      <c r="K115" s="35"/>
      <c r="L115" s="36">
        <v>2860</v>
      </c>
      <c r="M115" s="36">
        <v>730.47303999999997</v>
      </c>
      <c r="N115" s="36">
        <v>3450</v>
      </c>
      <c r="O115" s="34">
        <v>27.29032258064516</v>
      </c>
      <c r="P115" s="34">
        <f t="shared" si="12"/>
        <v>2.2969002352941175</v>
      </c>
      <c r="Q115" s="34">
        <f t="shared" si="13"/>
        <v>1.4738532110091742</v>
      </c>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2:46" x14ac:dyDescent="0.3">
      <c r="B116" s="42">
        <v>43435</v>
      </c>
      <c r="C116" s="37">
        <f t="shared" si="10"/>
        <v>27.444453074034904</v>
      </c>
      <c r="D116" s="37">
        <f t="shared" si="11"/>
        <v>31.04272128877902</v>
      </c>
      <c r="E116" s="35"/>
      <c r="F116" s="38">
        <v>3680</v>
      </c>
      <c r="G116" s="38">
        <v>1500</v>
      </c>
      <c r="H116" s="37">
        <f t="shared" si="7"/>
        <v>16.983179598480739</v>
      </c>
      <c r="I116" s="37">
        <f t="shared" si="8"/>
        <v>0.47993019197207681</v>
      </c>
      <c r="J116" s="37">
        <f t="shared" si="9"/>
        <v>9.9813432835820901</v>
      </c>
      <c r="K116" s="35"/>
      <c r="L116" s="38">
        <v>2850</v>
      </c>
      <c r="M116" s="38">
        <v>751.09102000000007</v>
      </c>
      <c r="N116" s="38">
        <v>3380</v>
      </c>
      <c r="O116" s="37">
        <v>27.182795698924732</v>
      </c>
      <c r="P116" s="37">
        <f t="shared" si="12"/>
        <v>2.4181824705882358</v>
      </c>
      <c r="Q116" s="37">
        <f t="shared" si="13"/>
        <v>1.441743119266055</v>
      </c>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2:46" x14ac:dyDescent="0.3">
      <c r="B117" s="41">
        <v>43466</v>
      </c>
      <c r="C117" s="34">
        <f t="shared" si="10"/>
        <v>30.193535932420406</v>
      </c>
      <c r="D117" s="34">
        <f t="shared" si="11"/>
        <v>31.583415894544736</v>
      </c>
      <c r="E117" s="35"/>
      <c r="F117" s="36">
        <v>3900</v>
      </c>
      <c r="G117" s="36">
        <v>1670</v>
      </c>
      <c r="H117" s="34">
        <f t="shared" si="7"/>
        <v>18.068366793271839</v>
      </c>
      <c r="I117" s="34">
        <f t="shared" si="8"/>
        <v>0.55800496004408928</v>
      </c>
      <c r="J117" s="34">
        <f t="shared" si="9"/>
        <v>11.567164179104477</v>
      </c>
      <c r="K117" s="35"/>
      <c r="L117" s="36">
        <v>2880</v>
      </c>
      <c r="M117" s="36">
        <v>771.01443000000006</v>
      </c>
      <c r="N117" s="36">
        <v>3600</v>
      </c>
      <c r="O117" s="34">
        <v>27.50537634408602</v>
      </c>
      <c r="P117" s="34">
        <f t="shared" si="12"/>
        <v>2.5353790000000003</v>
      </c>
      <c r="Q117" s="34">
        <f t="shared" si="13"/>
        <v>1.5426605504587156</v>
      </c>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row>
    <row r="118" spans="2:46" x14ac:dyDescent="0.3">
      <c r="B118" s="42">
        <v>43497</v>
      </c>
      <c r="C118" s="37">
        <f t="shared" si="10"/>
        <v>29.304101168640408</v>
      </c>
      <c r="D118" s="37">
        <f t="shared" si="11"/>
        <v>31.416821228057955</v>
      </c>
      <c r="E118" s="35"/>
      <c r="F118" s="38">
        <v>3680</v>
      </c>
      <c r="G118" s="38">
        <v>1690</v>
      </c>
      <c r="H118" s="37">
        <f t="shared" si="7"/>
        <v>16.983179598480739</v>
      </c>
      <c r="I118" s="37">
        <f t="shared" si="8"/>
        <v>0.56719022687609078</v>
      </c>
      <c r="J118" s="37">
        <f t="shared" si="9"/>
        <v>11.753731343283581</v>
      </c>
      <c r="K118" s="35"/>
      <c r="L118" s="38">
        <v>2880</v>
      </c>
      <c r="M118" s="38">
        <v>759.84929999999997</v>
      </c>
      <c r="N118" s="38">
        <v>3380</v>
      </c>
      <c r="O118" s="37">
        <v>27.50537634408602</v>
      </c>
      <c r="P118" s="37">
        <f t="shared" si="12"/>
        <v>2.4697017647058823</v>
      </c>
      <c r="Q118" s="37">
        <f t="shared" si="13"/>
        <v>1.441743119266055</v>
      </c>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2:46" x14ac:dyDescent="0.3">
      <c r="B119" s="41">
        <v>43525</v>
      </c>
      <c r="C119" s="34">
        <f t="shared" si="10"/>
        <v>28.269794996199817</v>
      </c>
      <c r="D119" s="34">
        <f t="shared" si="11"/>
        <v>30.80860322627068</v>
      </c>
      <c r="E119" s="35"/>
      <c r="F119" s="36">
        <v>3510</v>
      </c>
      <c r="G119" s="36">
        <v>1670</v>
      </c>
      <c r="H119" s="34">
        <f t="shared" si="7"/>
        <v>16.144625857051249</v>
      </c>
      <c r="I119" s="34">
        <f t="shared" si="8"/>
        <v>0.55800496004408928</v>
      </c>
      <c r="J119" s="34">
        <f t="shared" si="9"/>
        <v>11.567164179104477</v>
      </c>
      <c r="K119" s="35"/>
      <c r="L119" s="36">
        <v>2840</v>
      </c>
      <c r="M119" s="36">
        <v>742.82740000000001</v>
      </c>
      <c r="N119" s="36">
        <v>3210</v>
      </c>
      <c r="O119" s="34">
        <v>27.0752688172043</v>
      </c>
      <c r="P119" s="34">
        <f t="shared" si="12"/>
        <v>2.3695729411764703</v>
      </c>
      <c r="Q119" s="34">
        <f t="shared" si="13"/>
        <v>1.3637614678899082</v>
      </c>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2:46" x14ac:dyDescent="0.3">
      <c r="B120" s="42">
        <v>43556</v>
      </c>
      <c r="C120" s="37">
        <f t="shared" si="10"/>
        <v>27.827409111827095</v>
      </c>
      <c r="D120" s="37">
        <f t="shared" si="11"/>
        <v>30.555551623557268</v>
      </c>
      <c r="E120" s="35"/>
      <c r="F120" s="38">
        <v>3460</v>
      </c>
      <c r="G120" s="38">
        <v>1650</v>
      </c>
      <c r="H120" s="37">
        <f t="shared" si="7"/>
        <v>15.897992403689637</v>
      </c>
      <c r="I120" s="37">
        <f t="shared" si="8"/>
        <v>0.54881969321208779</v>
      </c>
      <c r="J120" s="37">
        <f t="shared" si="9"/>
        <v>11.380597014925373</v>
      </c>
      <c r="K120" s="35"/>
      <c r="L120" s="38">
        <v>2830</v>
      </c>
      <c r="M120" s="38">
        <v>721.98727999999994</v>
      </c>
      <c r="N120" s="38">
        <v>3160</v>
      </c>
      <c r="O120" s="37">
        <v>26.967741935483872</v>
      </c>
      <c r="P120" s="37">
        <f t="shared" si="12"/>
        <v>2.2469839999999999</v>
      </c>
      <c r="Q120" s="37">
        <f t="shared" si="13"/>
        <v>1.3408256880733944</v>
      </c>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row>
    <row r="121" spans="2:46" x14ac:dyDescent="0.3">
      <c r="B121" s="41">
        <v>43586</v>
      </c>
      <c r="C121" s="34">
        <f t="shared" si="10"/>
        <v>28.511765454526877</v>
      </c>
      <c r="D121" s="34">
        <f t="shared" si="11"/>
        <v>30.444226546924778</v>
      </c>
      <c r="E121" s="35"/>
      <c r="F121" s="36">
        <v>3440</v>
      </c>
      <c r="G121" s="36">
        <v>1730</v>
      </c>
      <c r="H121" s="34">
        <f t="shared" si="7"/>
        <v>15.799339022344991</v>
      </c>
      <c r="I121" s="34">
        <f t="shared" si="8"/>
        <v>0.58556076054009365</v>
      </c>
      <c r="J121" s="34">
        <f t="shared" si="9"/>
        <v>12.126865671641792</v>
      </c>
      <c r="K121" s="35"/>
      <c r="L121" s="36">
        <v>2830</v>
      </c>
      <c r="M121" s="36">
        <f>'AMPE-MCVE'!N58</f>
        <v>704.62165000000005</v>
      </c>
      <c r="N121" s="36">
        <v>3140</v>
      </c>
      <c r="O121" s="34">
        <v>26.967741935483872</v>
      </c>
      <c r="P121" s="34">
        <f t="shared" si="12"/>
        <v>2.1448332352941182</v>
      </c>
      <c r="Q121" s="34">
        <f t="shared" si="13"/>
        <v>1.331651376146789</v>
      </c>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row>
    <row r="122" spans="2:46" x14ac:dyDescent="0.3">
      <c r="B122" s="42">
        <v>43617</v>
      </c>
      <c r="C122" s="37">
        <f t="shared" si="10"/>
        <v>28.406117580630397</v>
      </c>
      <c r="D122" s="37">
        <f t="shared" si="11"/>
        <v>30.367229368835197</v>
      </c>
      <c r="E122" s="35"/>
      <c r="F122" s="38">
        <v>3240</v>
      </c>
      <c r="G122" s="38">
        <v>1820</v>
      </c>
      <c r="H122" s="37">
        <f t="shared" si="7"/>
        <v>14.812805208898535</v>
      </c>
      <c r="I122" s="37">
        <f t="shared" si="8"/>
        <v>0.62689446128410031</v>
      </c>
      <c r="J122" s="37">
        <f t="shared" si="9"/>
        <v>12.966417910447761</v>
      </c>
      <c r="K122" s="35"/>
      <c r="L122" s="38">
        <v>2830</v>
      </c>
      <c r="M122" s="38">
        <f>'AMPE-MCVE'!N59</f>
        <v>707.12846000000002</v>
      </c>
      <c r="N122" s="38">
        <v>2940</v>
      </c>
      <c r="O122" s="37">
        <v>26.967741935483872</v>
      </c>
      <c r="P122" s="37">
        <f t="shared" si="12"/>
        <v>2.1595791764705887</v>
      </c>
      <c r="Q122" s="37">
        <f t="shared" si="13"/>
        <v>1.239908256880734</v>
      </c>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row>
    <row r="123" spans="2:46" x14ac:dyDescent="0.3">
      <c r="B123" s="41">
        <v>43647</v>
      </c>
      <c r="C123" s="34">
        <f t="shared" si="10"/>
        <v>27.864301149073938</v>
      </c>
      <c r="D123" s="34">
        <f t="shared" si="11"/>
        <v>30.025744788694883</v>
      </c>
      <c r="E123" s="35"/>
      <c r="F123" s="36">
        <v>3150</v>
      </c>
      <c r="G123" s="36">
        <v>1810</v>
      </c>
      <c r="H123" s="34">
        <f t="shared" si="7"/>
        <v>14.36886499284763</v>
      </c>
      <c r="I123" s="34">
        <f t="shared" si="8"/>
        <v>0.62230182786809962</v>
      </c>
      <c r="J123" s="34">
        <f t="shared" si="9"/>
        <v>12.873134328358208</v>
      </c>
      <c r="K123" s="35"/>
      <c r="L123" s="36">
        <v>2830</v>
      </c>
      <c r="M123" s="36">
        <f>'AMPE-MCVE'!N60</f>
        <v>656.09442999999999</v>
      </c>
      <c r="N123" s="36">
        <v>2850</v>
      </c>
      <c r="O123" s="34">
        <v>26.967741935483872</v>
      </c>
      <c r="P123" s="34">
        <f t="shared" si="12"/>
        <v>1.8593789999999999</v>
      </c>
      <c r="Q123" s="34">
        <f t="shared" si="13"/>
        <v>1.1986238532110092</v>
      </c>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2:46" x14ac:dyDescent="0.3">
      <c r="B124" s="42">
        <v>43678</v>
      </c>
      <c r="C124" s="37">
        <f t="shared" si="10"/>
        <v>27.66388572302828</v>
      </c>
      <c r="D124" s="37">
        <f t="shared" si="11"/>
        <v>29.927789093605835</v>
      </c>
      <c r="E124" s="35"/>
      <c r="F124" s="38">
        <v>3030</v>
      </c>
      <c r="G124" s="38">
        <v>1850</v>
      </c>
      <c r="H124" s="37">
        <f t="shared" si="7"/>
        <v>13.776944704779757</v>
      </c>
      <c r="I124" s="37">
        <f t="shared" si="8"/>
        <v>0.6406723615321025</v>
      </c>
      <c r="J124" s="37">
        <f t="shared" si="9"/>
        <v>13.246268656716419</v>
      </c>
      <c r="K124" s="35"/>
      <c r="L124" s="38">
        <v>2830</v>
      </c>
      <c r="M124" s="38">
        <f>'AMPE-MCVE'!N61</f>
        <v>648.79975999999999</v>
      </c>
      <c r="N124" s="38">
        <v>2730</v>
      </c>
      <c r="O124" s="37">
        <v>26.967741935483872</v>
      </c>
      <c r="P124" s="37">
        <f t="shared" si="12"/>
        <v>1.8164691764705883</v>
      </c>
      <c r="Q124" s="37">
        <f t="shared" si="13"/>
        <v>1.1435779816513763</v>
      </c>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2:46" x14ac:dyDescent="0.3">
      <c r="B125" s="41">
        <v>43709</v>
      </c>
      <c r="C125" s="34">
        <f t="shared" ref="C125:C126" si="14">H125+I125+J125</f>
        <v>29.727057907035814</v>
      </c>
      <c r="D125" s="34">
        <f t="shared" ref="D125:D126" si="15">O125+P125+Q125</f>
        <v>29.904787154048364</v>
      </c>
      <c r="E125" s="35"/>
      <c r="F125" s="36">
        <v>3230</v>
      </c>
      <c r="G125" s="36">
        <v>1960</v>
      </c>
      <c r="H125" s="34">
        <f t="shared" si="7"/>
        <v>14.763478518226211</v>
      </c>
      <c r="I125" s="34">
        <f t="shared" si="8"/>
        <v>0.69119132910811054</v>
      </c>
      <c r="J125" s="34">
        <f t="shared" si="9"/>
        <v>14.272388059701493</v>
      </c>
      <c r="K125" s="35"/>
      <c r="L125" s="36">
        <v>2830</v>
      </c>
      <c r="M125" s="36">
        <f>'AMPE-MCVE'!N62</f>
        <v>629.29309999999998</v>
      </c>
      <c r="N125" s="36">
        <f t="shared" ref="N125:N126" si="16">F125-300</f>
        <v>2930</v>
      </c>
      <c r="O125" s="34">
        <f t="shared" ref="O125" si="17">(L125-322)*100/9300</f>
        <v>26.967741935483872</v>
      </c>
      <c r="P125" s="34">
        <f t="shared" si="12"/>
        <v>1.7017241176470588</v>
      </c>
      <c r="Q125" s="34">
        <f t="shared" si="13"/>
        <v>1.2353211009174312</v>
      </c>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row>
    <row r="126" spans="2:46" x14ac:dyDescent="0.3">
      <c r="B126" s="42">
        <v>43739</v>
      </c>
      <c r="C126" s="37">
        <f t="shared" si="14"/>
        <v>30.214107487046302</v>
      </c>
      <c r="D126" s="37">
        <f t="shared" si="15"/>
        <v>30.085667747680308</v>
      </c>
      <c r="E126" s="35"/>
      <c r="F126" s="38">
        <v>3170</v>
      </c>
      <c r="G126" s="38">
        <v>2040</v>
      </c>
      <c r="H126" s="37">
        <f t="shared" si="7"/>
        <v>14.467518374192275</v>
      </c>
      <c r="I126" s="37">
        <f t="shared" si="8"/>
        <v>0.72793239643611651</v>
      </c>
      <c r="J126" s="37">
        <f t="shared" si="9"/>
        <v>15.01865671641791</v>
      </c>
      <c r="K126" s="35"/>
      <c r="L126" s="38">
        <v>2830</v>
      </c>
      <c r="M126" s="38">
        <f>'AMPE-MCVE'!N63</f>
        <v>664.72169999999994</v>
      </c>
      <c r="N126" s="38">
        <f t="shared" si="16"/>
        <v>2870</v>
      </c>
      <c r="O126" s="37">
        <f t="shared" ref="O126:O127" si="18">(L126-322)*100/9300</f>
        <v>26.967741935483872</v>
      </c>
      <c r="P126" s="37">
        <f t="shared" si="12"/>
        <v>1.9101276470588233</v>
      </c>
      <c r="Q126" s="37">
        <f t="shared" si="13"/>
        <v>1.2077981651376146</v>
      </c>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row>
    <row r="127" spans="2:46" x14ac:dyDescent="0.3">
      <c r="B127" s="41">
        <v>43770</v>
      </c>
      <c r="C127" s="34">
        <f t="shared" ref="C127:C128" si="19">H127+I127+J127</f>
        <v>31.144320117268602</v>
      </c>
      <c r="D127" s="34">
        <f t="shared" ref="D127:D128" si="20">O127+P127+Q127</f>
        <v>30.198522550702435</v>
      </c>
      <c r="E127" s="35"/>
      <c r="F127" s="36">
        <v>3180</v>
      </c>
      <c r="G127" s="36">
        <v>2130</v>
      </c>
      <c r="H127" s="34">
        <f t="shared" si="7"/>
        <v>14.516845064864599</v>
      </c>
      <c r="I127" s="34">
        <f t="shared" si="8"/>
        <v>0.76926609718012307</v>
      </c>
      <c r="J127" s="34">
        <f t="shared" si="9"/>
        <v>15.85820895522388</v>
      </c>
      <c r="K127" s="35"/>
      <c r="L127" s="36">
        <v>2830</v>
      </c>
      <c r="M127" s="36">
        <f>'AMPE-MCVE'!N64</f>
        <v>683.12720000000002</v>
      </c>
      <c r="N127" s="36">
        <f t="shared" ref="N127:N128" si="21">F127-300</f>
        <v>2880</v>
      </c>
      <c r="O127" s="34">
        <f t="shared" si="18"/>
        <v>26.967741935483872</v>
      </c>
      <c r="P127" s="34">
        <f t="shared" ref="P127:P132" si="22">(M127-340)*100/17000</f>
        <v>2.0183952941176471</v>
      </c>
      <c r="Q127" s="34">
        <f t="shared" ref="Q127:Q132" si="23">(N127-237)*100/218000</f>
        <v>1.2123853211009175</v>
      </c>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row>
    <row r="128" spans="2:46" x14ac:dyDescent="0.3">
      <c r="B128" s="42">
        <v>43800</v>
      </c>
      <c r="C128" s="37">
        <f t="shared" si="19"/>
        <v>31.188983812906368</v>
      </c>
      <c r="D128" s="37">
        <f t="shared" si="20"/>
        <v>30.160195423341399</v>
      </c>
      <c r="E128" s="35"/>
      <c r="F128" s="38">
        <v>3070</v>
      </c>
      <c r="G128" s="38">
        <v>2190</v>
      </c>
      <c r="H128" s="37">
        <f>(F128-237)*100/20273</f>
        <v>13.974251467469047</v>
      </c>
      <c r="I128" s="37">
        <f t="shared" ref="I128:I130" si="24">((G128-103)-352)*100/217740</f>
        <v>0.79682189767612754</v>
      </c>
      <c r="J128" s="37">
        <f t="shared" ref="J128:J130" si="25">(G128-430)*100/10720</f>
        <v>16.417910447761194</v>
      </c>
      <c r="K128" s="35"/>
      <c r="L128" s="38">
        <v>2830</v>
      </c>
      <c r="M128" s="38">
        <f>'AMPE-MCVE'!N65</f>
        <v>685.18957</v>
      </c>
      <c r="N128" s="38">
        <f t="shared" si="21"/>
        <v>2770</v>
      </c>
      <c r="O128" s="37">
        <f t="shared" ref="O128:O130" si="26">(L128-322)*100/9300</f>
        <v>26.967741935483872</v>
      </c>
      <c r="P128" s="37">
        <f t="shared" si="22"/>
        <v>2.0305268823529414</v>
      </c>
      <c r="Q128" s="37">
        <f t="shared" si="23"/>
        <v>1.1619266055045872</v>
      </c>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row>
    <row r="129" spans="2:46" x14ac:dyDescent="0.3">
      <c r="B129" s="41">
        <v>43831</v>
      </c>
      <c r="C129" s="34">
        <f t="shared" ref="C129:C130" si="27">H129+I129+J129</f>
        <v>31.433285768750707</v>
      </c>
      <c r="D129" s="34">
        <f t="shared" ref="D129:D130" si="28">O129+P129+Q129</f>
        <v>30.206649326201624</v>
      </c>
      <c r="E129" s="35"/>
      <c r="F129" s="36">
        <v>3060</v>
      </c>
      <c r="G129" s="36">
        <v>2220</v>
      </c>
      <c r="H129" s="34">
        <f t="shared" ref="H129:H130" si="29">(F129-237)*100/20273</f>
        <v>13.924924776796725</v>
      </c>
      <c r="I129" s="34">
        <f t="shared" si="24"/>
        <v>0.81059979792412973</v>
      </c>
      <c r="J129" s="34">
        <f t="shared" si="25"/>
        <v>16.697761194029852</v>
      </c>
      <c r="K129" s="35"/>
      <c r="L129" s="36">
        <v>2830</v>
      </c>
      <c r="M129" s="36">
        <f>'AMPE-MCVE'!N66</f>
        <v>693.86654999999996</v>
      </c>
      <c r="N129" s="36">
        <f t="shared" ref="N129:N130" si="30">F129-300</f>
        <v>2760</v>
      </c>
      <c r="O129" s="34">
        <f t="shared" si="26"/>
        <v>26.967741935483872</v>
      </c>
      <c r="P129" s="34">
        <f t="shared" si="22"/>
        <v>2.0815679411764707</v>
      </c>
      <c r="Q129" s="34">
        <f t="shared" si="23"/>
        <v>1.1573394495412843</v>
      </c>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row>
    <row r="130" spans="2:46" x14ac:dyDescent="0.3">
      <c r="B130" s="42">
        <v>43862</v>
      </c>
      <c r="C130" s="37">
        <f t="shared" si="27"/>
        <v>30.400533927988299</v>
      </c>
      <c r="D130" s="37">
        <f t="shared" si="28"/>
        <v>30.563648755560411</v>
      </c>
      <c r="E130" s="35"/>
      <c r="F130" s="38">
        <v>2930</v>
      </c>
      <c r="G130" s="38">
        <v>2180</v>
      </c>
      <c r="H130" s="37">
        <f t="shared" si="29"/>
        <v>13.283677798056528</v>
      </c>
      <c r="I130" s="37">
        <f t="shared" si="24"/>
        <v>0.79222926426012674</v>
      </c>
      <c r="J130" s="37">
        <f t="shared" si="25"/>
        <v>16.324626865671643</v>
      </c>
      <c r="K130" s="35"/>
      <c r="L130" s="38">
        <v>2870</v>
      </c>
      <c r="M130" s="38">
        <f>'AMPE-MCVE'!N67</f>
        <v>691.57578809999995</v>
      </c>
      <c r="N130" s="38">
        <f t="shared" si="30"/>
        <v>2630</v>
      </c>
      <c r="O130" s="37">
        <f t="shared" si="26"/>
        <v>27.397849462365592</v>
      </c>
      <c r="P130" s="37">
        <f t="shared" si="22"/>
        <v>2.0680928711764701</v>
      </c>
      <c r="Q130" s="37">
        <f t="shared" si="23"/>
        <v>1.0977064220183486</v>
      </c>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row>
    <row r="131" spans="2:46" x14ac:dyDescent="0.3">
      <c r="B131" s="41">
        <v>43891</v>
      </c>
      <c r="C131" s="34">
        <f t="shared" ref="C131:C132" si="31">H131+I131+J131</f>
        <v>28.491559142710464</v>
      </c>
      <c r="D131" s="34">
        <f t="shared" ref="D131:D132" si="32">O131+P131+Q131</f>
        <v>30.980544961184709</v>
      </c>
      <c r="E131" s="35"/>
      <c r="F131" s="36">
        <v>2920</v>
      </c>
      <c r="G131" s="36">
        <v>1990</v>
      </c>
      <c r="H131" s="34">
        <f t="shared" ref="H131:H132" si="33">(F131-237)*100/20273</f>
        <v>13.234351107384205</v>
      </c>
      <c r="I131" s="34">
        <f t="shared" ref="I131:I132" si="34">((G131-103)-352)*100/217740</f>
        <v>0.70496922935611284</v>
      </c>
      <c r="J131" s="34">
        <f t="shared" ref="J131:J132" si="35">(G131-430)*100/10720</f>
        <v>14.552238805970148</v>
      </c>
      <c r="K131" s="35"/>
      <c r="L131" s="36">
        <v>2910</v>
      </c>
      <c r="M131" s="36">
        <f>'AMPE-MCVE'!N68</f>
        <v>690.10968000000003</v>
      </c>
      <c r="N131" s="36">
        <f t="shared" ref="N131:N132" si="36">F131-300</f>
        <v>2620</v>
      </c>
      <c r="O131" s="34">
        <f t="shared" ref="O131:O132" si="37">(L131-322)*100/9300</f>
        <v>27.827956989247312</v>
      </c>
      <c r="P131" s="34">
        <f t="shared" si="22"/>
        <v>2.0594687058823529</v>
      </c>
      <c r="Q131" s="34">
        <f t="shared" si="23"/>
        <v>1.0931192660550459</v>
      </c>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2:46" x14ac:dyDescent="0.3">
      <c r="B132" s="42">
        <v>43922</v>
      </c>
      <c r="C132" s="37">
        <f t="shared" si="31"/>
        <v>23.332462933932984</v>
      </c>
      <c r="D132" s="37">
        <f t="shared" si="32"/>
        <v>30.114720572574964</v>
      </c>
      <c r="E132" s="35"/>
      <c r="F132" s="38">
        <v>2390</v>
      </c>
      <c r="G132" s="38">
        <v>1730</v>
      </c>
      <c r="H132" s="37">
        <f t="shared" si="33"/>
        <v>10.620036501751098</v>
      </c>
      <c r="I132" s="37">
        <f t="shared" si="34"/>
        <v>0.58556076054009365</v>
      </c>
      <c r="J132" s="37">
        <f t="shared" si="35"/>
        <v>12.126865671641792</v>
      </c>
      <c r="K132" s="35"/>
      <c r="L132" s="38">
        <v>2880</v>
      </c>
      <c r="M132" s="38">
        <f>'AMPE-MCVE'!N69</f>
        <v>639.08851884312014</v>
      </c>
      <c r="N132" s="38">
        <f t="shared" si="36"/>
        <v>2090</v>
      </c>
      <c r="O132" s="37">
        <f t="shared" si="37"/>
        <v>27.50537634408602</v>
      </c>
      <c r="P132" s="37">
        <f t="shared" si="22"/>
        <v>1.759344228488942</v>
      </c>
      <c r="Q132" s="37">
        <f t="shared" si="23"/>
        <v>0.85</v>
      </c>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2:46" x14ac:dyDescent="0.3">
      <c r="B133" s="41">
        <v>43952</v>
      </c>
      <c r="C133" s="34">
        <f t="shared" ref="C133:C135" si="38">H133+I133+J133</f>
        <v>24.564075869062869</v>
      </c>
      <c r="D133" s="34">
        <f t="shared" ref="D133:D135" si="39">O133+P133+Q133</f>
        <v>30.487531303051448</v>
      </c>
      <c r="E133" s="35"/>
      <c r="F133" s="36">
        <v>2600</v>
      </c>
      <c r="G133" s="36">
        <v>1750</v>
      </c>
      <c r="H133" s="34">
        <f t="shared" ref="H133:H135" si="40">(F133-237)*100/20273</f>
        <v>11.655897005869877</v>
      </c>
      <c r="I133" s="34">
        <f t="shared" ref="I133:I135" si="41">((G133-103)-352)*100/217740</f>
        <v>0.59474602737209514</v>
      </c>
      <c r="J133" s="34">
        <f t="shared" ref="J133:J135" si="42">(G133-430)*100/10720</f>
        <v>12.313432835820896</v>
      </c>
      <c r="K133" s="35"/>
      <c r="L133" s="36">
        <v>2900</v>
      </c>
      <c r="M133" s="36">
        <f>'AMPE-MCVE'!N70</f>
        <v>649.53105645018582</v>
      </c>
      <c r="N133" s="36">
        <f t="shared" ref="N133:N135" si="43">F133-300</f>
        <v>2300</v>
      </c>
      <c r="O133" s="34">
        <f t="shared" ref="O133:O135" si="44">(L133-322)*100/9300</f>
        <v>27.72043010752688</v>
      </c>
      <c r="P133" s="34">
        <f t="shared" ref="P133:P135" si="45">(M133-340)*100/17000</f>
        <v>1.8207709202952107</v>
      </c>
      <c r="Q133" s="34">
        <f t="shared" ref="Q133:Q135" si="46">(N133-237)*100/218000</f>
        <v>0.94633027522935775</v>
      </c>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row>
    <row r="134" spans="2:46" x14ac:dyDescent="0.3">
      <c r="B134" s="42">
        <v>43983</v>
      </c>
      <c r="C134" s="37">
        <f t="shared" si="38"/>
        <v>29.374776579777723</v>
      </c>
      <c r="D134" s="37">
        <f t="shared" si="39"/>
        <v>30.88985932049394</v>
      </c>
      <c r="E134" s="35"/>
      <c r="F134" s="38">
        <v>2980</v>
      </c>
      <c r="G134" s="38">
        <v>2050</v>
      </c>
      <c r="H134" s="37">
        <f t="shared" si="40"/>
        <v>13.530311251418143</v>
      </c>
      <c r="I134" s="37">
        <f t="shared" si="41"/>
        <v>0.7325250298521172</v>
      </c>
      <c r="J134" s="37">
        <f t="shared" si="42"/>
        <v>15.111940298507463</v>
      </c>
      <c r="K134" s="35"/>
      <c r="L134" s="38">
        <v>2910</v>
      </c>
      <c r="M134" s="38">
        <f>'AMPE-MCVE'!N71</f>
        <v>670.01422200000002</v>
      </c>
      <c r="N134" s="38">
        <f t="shared" si="43"/>
        <v>2680</v>
      </c>
      <c r="O134" s="37">
        <f t="shared" si="44"/>
        <v>27.827956989247312</v>
      </c>
      <c r="P134" s="37">
        <f t="shared" si="45"/>
        <v>1.9412601294117648</v>
      </c>
      <c r="Q134" s="37">
        <f t="shared" si="46"/>
        <v>1.1206422018348623</v>
      </c>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row>
    <row r="135" spans="2:46" x14ac:dyDescent="0.3">
      <c r="B135" s="41">
        <v>44013</v>
      </c>
      <c r="C135" s="34">
        <f t="shared" si="38"/>
        <v>28.546325994256442</v>
      </c>
      <c r="D135" s="34">
        <f t="shared" si="39"/>
        <v>31.012454241178208</v>
      </c>
      <c r="E135" s="35"/>
      <c r="F135" s="36">
        <v>3070</v>
      </c>
      <c r="G135" s="36">
        <v>1920</v>
      </c>
      <c r="H135" s="34">
        <f t="shared" si="40"/>
        <v>13.974251467469047</v>
      </c>
      <c r="I135" s="34">
        <f t="shared" si="41"/>
        <v>0.67282079544410767</v>
      </c>
      <c r="J135" s="34">
        <f t="shared" si="42"/>
        <v>13.899253731343284</v>
      </c>
      <c r="K135" s="35"/>
      <c r="L135" s="36">
        <v>2920</v>
      </c>
      <c r="M135" s="36">
        <f>'AMPE-MCVE'!N72</f>
        <v>665.55744000000004</v>
      </c>
      <c r="N135" s="36">
        <f t="shared" si="43"/>
        <v>2770</v>
      </c>
      <c r="O135" s="34">
        <f t="shared" si="44"/>
        <v>27.93548387096774</v>
      </c>
      <c r="P135" s="34">
        <f t="shared" si="45"/>
        <v>1.9150437647058827</v>
      </c>
      <c r="Q135" s="34">
        <f t="shared" si="46"/>
        <v>1.1619266055045872</v>
      </c>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row>
    <row r="136" spans="2:46" x14ac:dyDescent="0.3">
      <c r="B136" s="42">
        <v>44044</v>
      </c>
      <c r="C136" s="37">
        <f t="shared" ref="C136" si="47">H136+I136+J136</f>
        <v>28.008395391895444</v>
      </c>
      <c r="D136" s="37">
        <f t="shared" ref="D136" si="48">O136+P136+Q136</f>
        <v>30.917906820670925</v>
      </c>
      <c r="E136" s="16"/>
      <c r="F136" s="38">
        <v>3080</v>
      </c>
      <c r="G136" s="38">
        <v>1860</v>
      </c>
      <c r="H136" s="37">
        <f>(F136-237)*100/20273</f>
        <v>14.023578158141371</v>
      </c>
      <c r="I136" s="37">
        <f t="shared" ref="I136:I137" si="49">((G136-103)-352)*100/217740</f>
        <v>0.64526499494810319</v>
      </c>
      <c r="J136" s="37">
        <f t="shared" ref="J136:J137" si="50">(G136-430)*100/10720</f>
        <v>13.33955223880597</v>
      </c>
      <c r="K136" s="35"/>
      <c r="L136" s="38">
        <v>2920</v>
      </c>
      <c r="M136" s="38">
        <f>'AMPE-MCVE'!N73</f>
        <v>648.70456200000001</v>
      </c>
      <c r="N136" s="38">
        <f t="shared" ref="N136:N137" si="51">F136-300</f>
        <v>2780</v>
      </c>
      <c r="O136" s="37">
        <f t="shared" ref="O136:O137" si="52">(L136-322)*100/9300</f>
        <v>27.93548387096774</v>
      </c>
      <c r="P136" s="37">
        <f t="shared" ref="P136:P137" si="53">(M136-340)*100/17000</f>
        <v>1.8159091882352942</v>
      </c>
      <c r="Q136" s="37">
        <f t="shared" ref="Q136:Q137" si="54">(N136-237)*100/218000</f>
        <v>1.16651376146789</v>
      </c>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row>
    <row r="137" spans="2:46" x14ac:dyDescent="0.3">
      <c r="B137" s="41">
        <v>44075</v>
      </c>
      <c r="C137" s="34">
        <f t="shared" ref="C137:C138" si="55">H137+I137+J137</f>
        <v>29.284672022663095</v>
      </c>
      <c r="D137" s="34">
        <f t="shared" ref="D137:D138" si="56">O137+P137+Q137</f>
        <v>30.965450492068658</v>
      </c>
      <c r="E137" s="35"/>
      <c r="F137" s="36">
        <v>3180</v>
      </c>
      <c r="G137" s="36">
        <v>1940</v>
      </c>
      <c r="H137" s="34">
        <f t="shared" ref="H137" si="57">(F137-237)*100/20273</f>
        <v>14.516845064864599</v>
      </c>
      <c r="I137" s="34">
        <f t="shared" si="49"/>
        <v>0.68200606227610916</v>
      </c>
      <c r="J137" s="34">
        <f t="shared" si="50"/>
        <v>14.085820895522389</v>
      </c>
      <c r="K137" s="35"/>
      <c r="L137" s="36">
        <v>2920</v>
      </c>
      <c r="M137" s="36">
        <f>'AMPE-MCVE'!N74</f>
        <v>648.98882100000003</v>
      </c>
      <c r="N137" s="36">
        <f t="shared" si="51"/>
        <v>2880</v>
      </c>
      <c r="O137" s="34">
        <f t="shared" si="52"/>
        <v>27.93548387096774</v>
      </c>
      <c r="P137" s="34">
        <f t="shared" si="53"/>
        <v>1.8175813000000001</v>
      </c>
      <c r="Q137" s="34">
        <f t="shared" si="54"/>
        <v>1.2123853211009175</v>
      </c>
      <c r="R137"/>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row>
    <row r="138" spans="2:46" x14ac:dyDescent="0.3">
      <c r="B138" s="42">
        <v>44105</v>
      </c>
      <c r="C138" s="37">
        <f t="shared" si="55"/>
        <v>29.478870121996017</v>
      </c>
      <c r="D138" s="37">
        <f t="shared" si="56"/>
        <v>31.011060097627212</v>
      </c>
      <c r="E138" s="16"/>
      <c r="F138" s="38">
        <v>3140</v>
      </c>
      <c r="G138" s="38">
        <v>1980</v>
      </c>
      <c r="H138" s="37">
        <f>(F138-237)*100/20273</f>
        <v>14.319538302175307</v>
      </c>
      <c r="I138" s="37">
        <f t="shared" ref="I138:I139" si="58">((G138-103)-352)*100/217740</f>
        <v>0.70037659594011203</v>
      </c>
      <c r="J138" s="37">
        <f t="shared" ref="J138:J139" si="59">(G138-430)*100/10720</f>
        <v>14.458955223880597</v>
      </c>
      <c r="K138" s="35"/>
      <c r="L138" s="38">
        <v>2920</v>
      </c>
      <c r="M138" s="38">
        <f>'AMPE-MCVE'!N75</f>
        <v>659.86171999999999</v>
      </c>
      <c r="N138" s="38">
        <f t="shared" ref="N138:N139" si="60">F138-300</f>
        <v>2840</v>
      </c>
      <c r="O138" s="37">
        <f t="shared" ref="O138:O139" si="61">(L138-322)*100/9300</f>
        <v>27.93548387096774</v>
      </c>
      <c r="P138" s="37">
        <f t="shared" ref="P138:P139" si="62">(M138-340)*100/17000</f>
        <v>1.8815395294117647</v>
      </c>
      <c r="Q138" s="37">
        <f t="shared" ref="Q138:Q139" si="63">(N138-237)*100/218000</f>
        <v>1.1940366972477063</v>
      </c>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row>
    <row r="139" spans="2:46" x14ac:dyDescent="0.3">
      <c r="B139" s="41">
        <v>44136</v>
      </c>
      <c r="C139" s="34">
        <f t="shared" ref="C139:C140" si="64">H139+I139+J139</f>
        <v>28.839177474934004</v>
      </c>
      <c r="D139" s="34">
        <f t="shared" ref="D139:D140" si="65">O139+P139+Q139</f>
        <v>30.932076164545723</v>
      </c>
      <c r="E139" s="35"/>
      <c r="F139" s="36">
        <v>3050</v>
      </c>
      <c r="G139" s="36">
        <v>1960</v>
      </c>
      <c r="H139" s="34">
        <f t="shared" ref="H139" si="66">(F139-237)*100/20273</f>
        <v>13.875598086124402</v>
      </c>
      <c r="I139" s="34">
        <f t="shared" si="58"/>
        <v>0.69119132910811054</v>
      </c>
      <c r="J139" s="34">
        <f t="shared" si="59"/>
        <v>14.272388059701493</v>
      </c>
      <c r="K139" s="35"/>
      <c r="L139" s="36">
        <v>2920</v>
      </c>
      <c r="M139" s="36">
        <f>'AMPE-MCVE'!N76</f>
        <v>653.45280000000002</v>
      </c>
      <c r="N139" s="36">
        <f t="shared" si="60"/>
        <v>2750</v>
      </c>
      <c r="O139" s="34">
        <f t="shared" si="61"/>
        <v>27.93548387096774</v>
      </c>
      <c r="P139" s="34">
        <f t="shared" si="62"/>
        <v>1.8438400000000001</v>
      </c>
      <c r="Q139" s="34">
        <f t="shared" si="63"/>
        <v>1.1527522935779817</v>
      </c>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row>
    <row r="140" spans="2:46" x14ac:dyDescent="0.3">
      <c r="B140" s="42">
        <v>44166</v>
      </c>
      <c r="C140" s="37">
        <f t="shared" si="64"/>
        <v>28.690420237077944</v>
      </c>
      <c r="D140" s="37">
        <f t="shared" si="65"/>
        <v>31.309432446155935</v>
      </c>
      <c r="E140" s="16"/>
      <c r="F140" s="38">
        <v>3000</v>
      </c>
      <c r="G140" s="38">
        <v>1970</v>
      </c>
      <c r="H140" s="37">
        <f>(F140-237)*100/20273</f>
        <v>13.628964632762788</v>
      </c>
      <c r="I140" s="37">
        <f t="shared" ref="I140:I141" si="67">((G140-103)-352)*100/217740</f>
        <v>0.69578396252411134</v>
      </c>
      <c r="J140" s="37">
        <f t="shared" ref="J140:J141" si="68">(G140-430)*100/10720</f>
        <v>14.365671641791044</v>
      </c>
      <c r="K140" s="35"/>
      <c r="L140" s="38">
        <v>2940</v>
      </c>
      <c r="M140" s="38">
        <f>'AMPE-MCVE'!N77</f>
        <v>684.94331065759638</v>
      </c>
      <c r="N140" s="38">
        <f t="shared" ref="N140:N141" si="69">F140-300</f>
        <v>2700</v>
      </c>
      <c r="O140" s="37">
        <f t="shared" ref="O140:O142" si="70">(L140-322)*100/9300</f>
        <v>28.150537634408604</v>
      </c>
      <c r="P140" s="37">
        <f t="shared" ref="P140:P141" si="71">(M140-340)*100/17000</f>
        <v>2.029078297985861</v>
      </c>
      <c r="Q140" s="37">
        <f t="shared" ref="Q140:Q141" si="72">(N140-237)*100/218000</f>
        <v>1.129816513761468</v>
      </c>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row>
    <row r="141" spans="2:46" x14ac:dyDescent="0.3">
      <c r="B141" s="41">
        <v>44197</v>
      </c>
      <c r="C141" s="34">
        <f t="shared" ref="C141:C142" si="73">H141+I141+J141</f>
        <v>29.671513889650754</v>
      </c>
      <c r="D141" s="34">
        <f t="shared" ref="D141:D142" si="74">O141+P141+Q141</f>
        <v>31.437099434786465</v>
      </c>
      <c r="E141" s="35"/>
      <c r="F141" s="36">
        <f>'AMPE-MCVE'!F78</f>
        <v>3060</v>
      </c>
      <c r="G141" s="36">
        <f>'AMPE-MCVE'!G78</f>
        <v>2040</v>
      </c>
      <c r="H141" s="34">
        <f t="shared" ref="H141" si="75">(F141-237)*100/20273</f>
        <v>13.924924776796725</v>
      </c>
      <c r="I141" s="34">
        <f t="shared" si="67"/>
        <v>0.72793239643611651</v>
      </c>
      <c r="J141" s="34">
        <f t="shared" si="68"/>
        <v>15.01865671641791</v>
      </c>
      <c r="K141" s="35"/>
      <c r="L141" s="36">
        <f>'AMPE-MCVE'!M78</f>
        <v>2940</v>
      </c>
      <c r="M141" s="36">
        <f>'AMPE-MCVE'!N78</f>
        <v>701.9677996422181</v>
      </c>
      <c r="N141" s="36">
        <f t="shared" si="69"/>
        <v>2760</v>
      </c>
      <c r="O141" s="34">
        <f t="shared" si="70"/>
        <v>28.150537634408604</v>
      </c>
      <c r="P141" s="34">
        <f t="shared" si="71"/>
        <v>2.1292223508365771</v>
      </c>
      <c r="Q141" s="34">
        <f t="shared" si="72"/>
        <v>1.1573394495412843</v>
      </c>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row>
    <row r="142" spans="2:46" x14ac:dyDescent="0.3">
      <c r="B142" s="42">
        <v>44228</v>
      </c>
      <c r="C142" s="37">
        <f t="shared" si="73"/>
        <v>30.409082752218318</v>
      </c>
      <c r="D142" s="37">
        <f t="shared" si="74"/>
        <v>31.827701069711619</v>
      </c>
      <c r="E142" s="16"/>
      <c r="F142" s="38">
        <f>'AMPE-MCVE'!F79</f>
        <v>3150</v>
      </c>
      <c r="G142" s="38">
        <f>'AMPE-MCVE'!G79</f>
        <v>2070</v>
      </c>
      <c r="H142" s="37">
        <f>(F142-237)*100/20273</f>
        <v>14.36886499284763</v>
      </c>
      <c r="I142" s="37">
        <f t="shared" ref="I142:I143" si="76">((G142-103)-352)*100/217740</f>
        <v>0.7417102966841187</v>
      </c>
      <c r="J142" s="37">
        <f t="shared" ref="J142:J143" si="77">(G142-430)*100/10720</f>
        <v>15.298507462686567</v>
      </c>
      <c r="K142" s="35"/>
      <c r="L142" s="38">
        <f>'AMPE-MCVE'!M79</f>
        <v>2940</v>
      </c>
      <c r="M142" s="38">
        <f>'AMPE-MCVE'!N79</f>
        <v>761.35172895564097</v>
      </c>
      <c r="N142" s="38">
        <f t="shared" ref="N142:N143" si="78">F142-300</f>
        <v>2850</v>
      </c>
      <c r="O142" s="37">
        <f t="shared" si="70"/>
        <v>28.150537634408604</v>
      </c>
      <c r="P142" s="37">
        <f t="shared" ref="P142:P143" si="79">(M142-340)*100/17000</f>
        <v>2.4785395820920053</v>
      </c>
      <c r="Q142" s="37">
        <f t="shared" ref="Q142:Q143" si="80">(N142-237)*100/218000</f>
        <v>1.1986238532110092</v>
      </c>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2:46" x14ac:dyDescent="0.3">
      <c r="B143" s="41">
        <v>44256</v>
      </c>
      <c r="C143" s="34">
        <f t="shared" ref="C143:C144" si="81">H143+I143+J143</f>
        <v>32.083858737560014</v>
      </c>
      <c r="D143" s="34">
        <f t="shared" ref="D143:D144" si="82">O143+P143+Q143</f>
        <v>32.302135836355433</v>
      </c>
      <c r="E143" s="35"/>
      <c r="F143" s="36">
        <f>'AMPE-MCVE'!F80</f>
        <v>3430</v>
      </c>
      <c r="G143" s="36">
        <f>'AMPE-MCVE'!G80</f>
        <v>2100</v>
      </c>
      <c r="H143" s="34">
        <f t="shared" ref="H143" si="83">(F143-237)*100/20273</f>
        <v>15.750012331672668</v>
      </c>
      <c r="I143" s="34">
        <f t="shared" si="76"/>
        <v>0.75548819693212088</v>
      </c>
      <c r="J143" s="34">
        <f t="shared" si="77"/>
        <v>15.578358208955224</v>
      </c>
      <c r="K143" s="35"/>
      <c r="L143" s="36">
        <f>'AMPE-MCVE'!M80</f>
        <v>2960</v>
      </c>
      <c r="M143" s="36">
        <f>'AMPE-MCVE'!N80</f>
        <v>783.61163711482186</v>
      </c>
      <c r="N143" s="36">
        <f t="shared" si="78"/>
        <v>3130</v>
      </c>
      <c r="O143" s="34">
        <f t="shared" ref="O143:O144" si="84">(L143-322)*100/9300</f>
        <v>28.365591397849464</v>
      </c>
      <c r="P143" s="34">
        <f t="shared" si="79"/>
        <v>2.6094802183224814</v>
      </c>
      <c r="Q143" s="34">
        <f t="shared" si="80"/>
        <v>1.3270642201834861</v>
      </c>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row>
    <row r="144" spans="2:46" x14ac:dyDescent="0.3">
      <c r="B144" s="42">
        <v>44287</v>
      </c>
      <c r="C144" s="37">
        <f t="shared" si="81"/>
        <v>32.671893196432421</v>
      </c>
      <c r="D144" s="37">
        <f t="shared" si="82"/>
        <v>32.80046318068387</v>
      </c>
      <c r="E144" s="16"/>
      <c r="F144" s="38">
        <f>'AMPE-MCVE'!F81</f>
        <v>3450</v>
      </c>
      <c r="G144" s="38">
        <f>'AMPE-MCVE'!G81</f>
        <v>2150</v>
      </c>
      <c r="H144" s="37">
        <f>(F144-237)*100/20273</f>
        <v>15.848665713017313</v>
      </c>
      <c r="I144" s="37">
        <f t="shared" ref="I144:I145" si="85">((G144-103)-352)*100/217740</f>
        <v>0.77845136401212456</v>
      </c>
      <c r="J144" s="37">
        <f t="shared" ref="J144:J145" si="86">(G144-430)*100/10720</f>
        <v>16.044776119402986</v>
      </c>
      <c r="K144" s="35"/>
      <c r="L144" s="38">
        <f>'AMPE-MCVE'!M81</f>
        <v>2980</v>
      </c>
      <c r="M144" s="38">
        <f>'AMPE-MCVE'!N81</f>
        <v>830.20851283818706</v>
      </c>
      <c r="N144" s="38">
        <f t="shared" ref="N144:N145" si="87">F144-300</f>
        <v>3150</v>
      </c>
      <c r="O144" s="37">
        <f t="shared" si="84"/>
        <v>28.580645161290324</v>
      </c>
      <c r="P144" s="37">
        <f t="shared" ref="P144:P145" si="88">(M144-340)*100/17000</f>
        <v>2.8835794872834533</v>
      </c>
      <c r="Q144" s="37">
        <f t="shared" ref="Q144:Q145" si="89">(N144-237)*100/218000</f>
        <v>1.3362385321100918</v>
      </c>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row>
    <row r="145" spans="2:46" x14ac:dyDescent="0.3">
      <c r="B145" s="41">
        <v>44317</v>
      </c>
      <c r="C145" s="34">
        <f t="shared" ref="C145:C146" si="90">H145+I145+J145</f>
        <v>32.765883582742511</v>
      </c>
      <c r="D145" s="34">
        <f t="shared" ref="D145:D146" si="91">O145+P145+Q145</f>
        <v>32.941693933458218</v>
      </c>
      <c r="E145" s="35"/>
      <c r="F145" s="36">
        <f>'AMPE-MCVE'!F82</f>
        <v>3350</v>
      </c>
      <c r="G145" s="36">
        <f>'AMPE-MCVE'!G82</f>
        <v>2210</v>
      </c>
      <c r="H145" s="34">
        <f t="shared" ref="H145" si="92">(F145-237)*100/20273</f>
        <v>15.355398806294085</v>
      </c>
      <c r="I145" s="34">
        <f t="shared" si="85"/>
        <v>0.80600716450812893</v>
      </c>
      <c r="J145" s="34">
        <f t="shared" si="86"/>
        <v>16.604477611940297</v>
      </c>
      <c r="K145" s="35"/>
      <c r="L145" s="36">
        <f>'AMPE-MCVE'!M82</f>
        <v>2980</v>
      </c>
      <c r="M145" s="36">
        <f>'AMPE-MCVE'!N82</f>
        <v>862.01590594744118</v>
      </c>
      <c r="N145" s="36">
        <f t="shared" si="87"/>
        <v>3050</v>
      </c>
      <c r="O145" s="34">
        <f t="shared" ref="O145:O146" si="93">(L145-322)*100/9300</f>
        <v>28.580645161290324</v>
      </c>
      <c r="P145" s="34">
        <f t="shared" si="88"/>
        <v>3.0706817996908304</v>
      </c>
      <c r="Q145" s="34">
        <f t="shared" si="89"/>
        <v>1.2903669724770641</v>
      </c>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row>
    <row r="146" spans="2:46" x14ac:dyDescent="0.3">
      <c r="B146" s="42">
        <v>44348</v>
      </c>
      <c r="C146" s="37">
        <f t="shared" si="90"/>
        <v>32.03064621769223</v>
      </c>
      <c r="D146" s="37">
        <f t="shared" si="91"/>
        <v>32.952911639944524</v>
      </c>
      <c r="E146" s="16"/>
      <c r="F146" s="38">
        <f>'AMPE-MCVE'!F83</f>
        <v>3320</v>
      </c>
      <c r="G146" s="38">
        <f>'AMPE-MCVE'!G83</f>
        <v>2150</v>
      </c>
      <c r="H146" s="37">
        <f>(F146-237)*100/20273</f>
        <v>15.207418734277118</v>
      </c>
      <c r="I146" s="37">
        <f t="shared" ref="I146:I147" si="94">((G146-103)-352)*100/217740</f>
        <v>0.77845136401212456</v>
      </c>
      <c r="J146" s="37">
        <f t="shared" ref="J146:J147" si="95">(G146-430)*100/10720</f>
        <v>16.044776119402986</v>
      </c>
      <c r="K146" s="35"/>
      <c r="L146" s="38">
        <f>'AMPE-MCVE'!M83</f>
        <v>2980</v>
      </c>
      <c r="M146" s="38">
        <f>'AMPE-MCVE'!N83</f>
        <v>866.26236559139772</v>
      </c>
      <c r="N146" s="38">
        <f t="shared" ref="N146:N147" si="96">F146-300</f>
        <v>3020</v>
      </c>
      <c r="O146" s="37">
        <f t="shared" si="93"/>
        <v>28.580645161290324</v>
      </c>
      <c r="P146" s="37">
        <f t="shared" ref="P146:P147" si="97">(M146-340)*100/17000</f>
        <v>3.0956609740670458</v>
      </c>
      <c r="Q146" s="37">
        <f t="shared" ref="Q146:Q147" si="98">(N146-237)*100/218000</f>
        <v>1.276605504587156</v>
      </c>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row>
    <row r="147" spans="2:46" x14ac:dyDescent="0.3">
      <c r="B147" s="41">
        <v>44378</v>
      </c>
      <c r="C147" s="34">
        <f t="shared" ref="C147:C148" si="99">H147+I147+J147</f>
        <v>31.195201139619108</v>
      </c>
      <c r="D147" s="34">
        <f t="shared" ref="D147:D148" si="100">O147+P147+Q147</f>
        <v>32.764072047731837</v>
      </c>
      <c r="E147" s="35"/>
      <c r="F147" s="36">
        <f>'AMPE-MCVE'!F84</f>
        <v>3230</v>
      </c>
      <c r="G147" s="36">
        <f>'AMPE-MCVE'!G84</f>
        <v>2110</v>
      </c>
      <c r="H147" s="34">
        <f t="shared" ref="H147" si="101">(F147-237)*100/20273</f>
        <v>14.763478518226211</v>
      </c>
      <c r="I147" s="34">
        <f t="shared" si="94"/>
        <v>0.76008083034812157</v>
      </c>
      <c r="J147" s="34">
        <f t="shared" si="95"/>
        <v>15.671641791044776</v>
      </c>
      <c r="K147" s="35"/>
      <c r="L147" s="36">
        <f>'AMPE-MCVE'!M84</f>
        <v>2980</v>
      </c>
      <c r="M147" s="36">
        <f>'AMPE-MCVE'!N84</f>
        <v>841.17798353909461</v>
      </c>
      <c r="N147" s="36">
        <f t="shared" si="96"/>
        <v>2930</v>
      </c>
      <c r="O147" s="34">
        <f t="shared" ref="O147:O148" si="102">(L147-322)*100/9300</f>
        <v>28.580645161290324</v>
      </c>
      <c r="P147" s="34">
        <f t="shared" si="97"/>
        <v>2.9481057855240862</v>
      </c>
      <c r="Q147" s="34">
        <f t="shared" si="98"/>
        <v>1.2353211009174312</v>
      </c>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row>
    <row r="148" spans="2:46" x14ac:dyDescent="0.3">
      <c r="B148" s="42">
        <v>44409</v>
      </c>
      <c r="C148" s="37">
        <f t="shared" si="99"/>
        <v>31.686913714664151</v>
      </c>
      <c r="D148" s="37">
        <f t="shared" si="100"/>
        <v>32.790817277591131</v>
      </c>
      <c r="E148" s="16"/>
      <c r="F148" s="38">
        <f>'AMPE-MCVE'!F85</f>
        <v>3290</v>
      </c>
      <c r="G148" s="38">
        <f>'AMPE-MCVE'!G85</f>
        <v>2130</v>
      </c>
      <c r="H148" s="37">
        <f>(F148-237)*100/20273</f>
        <v>15.059438662260149</v>
      </c>
      <c r="I148" s="37">
        <f t="shared" ref="I148:I149" si="103">((G148-103)-352)*100/217740</f>
        <v>0.76926609718012307</v>
      </c>
      <c r="J148" s="37">
        <f t="shared" ref="J148:J149" si="104">(G148-430)*100/10720</f>
        <v>15.85820895522388</v>
      </c>
      <c r="K148" s="35"/>
      <c r="L148" s="38">
        <f>'AMPE-MCVE'!M85</f>
        <v>3000</v>
      </c>
      <c r="M148" s="38">
        <f>'AMPE-MCVE'!N85</f>
        <v>804.48663374765874</v>
      </c>
      <c r="N148" s="38">
        <f t="shared" ref="N148:N149" si="105">F148-300</f>
        <v>2990</v>
      </c>
      <c r="O148" s="37">
        <f t="shared" si="102"/>
        <v>28.795698924731184</v>
      </c>
      <c r="P148" s="37">
        <f t="shared" ref="P148:P149" si="106">(M148-340)*100/17000</f>
        <v>2.7322743161626986</v>
      </c>
      <c r="Q148" s="37">
        <f t="shared" ref="Q148:Q149" si="107">(N148-237)*100/218000</f>
        <v>1.2628440366972478</v>
      </c>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row>
    <row r="149" spans="2:46" x14ac:dyDescent="0.3">
      <c r="B149" s="41">
        <v>44440</v>
      </c>
      <c r="C149" s="34">
        <f t="shared" ref="C149:C150" si="108">H149+I149+J149</f>
        <v>33.405576229804524</v>
      </c>
      <c r="D149" s="34">
        <f t="shared" ref="D149:D150" si="109">O149+P149+Q149</f>
        <v>33.739677876627667</v>
      </c>
      <c r="E149" s="35"/>
      <c r="F149" s="36">
        <f>'AMPE-MCVE'!F86</f>
        <v>3440</v>
      </c>
      <c r="G149" s="36">
        <f>'AMPE-MCVE'!G86</f>
        <v>2230</v>
      </c>
      <c r="H149" s="34">
        <f t="shared" ref="H149" si="110">(F149-237)*100/20273</f>
        <v>15.799339022344991</v>
      </c>
      <c r="I149" s="34">
        <f t="shared" si="103"/>
        <v>0.81519243134013042</v>
      </c>
      <c r="J149" s="34">
        <f t="shared" si="104"/>
        <v>16.791044776119403</v>
      </c>
      <c r="K149" s="35"/>
      <c r="L149" s="36">
        <f>'AMPE-MCVE'!M86</f>
        <v>3070</v>
      </c>
      <c r="M149" s="36">
        <f>'AMPE-MCVE'!N86</f>
        <v>826.13869863013701</v>
      </c>
      <c r="N149" s="36">
        <f t="shared" si="105"/>
        <v>3140</v>
      </c>
      <c r="O149" s="34">
        <f t="shared" ref="O149:O150" si="111">(L149-322)*100/9300</f>
        <v>29.548387096774192</v>
      </c>
      <c r="P149" s="34">
        <f t="shared" si="106"/>
        <v>2.8596394037066881</v>
      </c>
      <c r="Q149" s="34">
        <f t="shared" si="107"/>
        <v>1.331651376146789</v>
      </c>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row>
    <row r="150" spans="2:46" x14ac:dyDescent="0.3">
      <c r="B150" s="42">
        <v>44470</v>
      </c>
      <c r="C150" s="37">
        <f t="shared" si="108"/>
        <v>36.06144586771903</v>
      </c>
      <c r="D150" s="37">
        <f t="shared" si="109"/>
        <v>35.820341317941796</v>
      </c>
      <c r="E150" s="16"/>
      <c r="F150" s="38">
        <f>'AMPE-MCVE'!F87</f>
        <v>3780</v>
      </c>
      <c r="G150" s="38">
        <f>'AMPE-MCVE'!G87</f>
        <v>2330</v>
      </c>
      <c r="H150" s="37">
        <f>(F150-237)*100/20273</f>
        <v>17.476446505203967</v>
      </c>
      <c r="I150" s="37">
        <f t="shared" ref="I150:I151" si="112">((G150-103)-352)*100/217740</f>
        <v>0.86111876550013777</v>
      </c>
      <c r="J150" s="37">
        <f t="shared" ref="J150:J151" si="113">(G150-430)*100/10720</f>
        <v>17.723880597014926</v>
      </c>
      <c r="K150" s="35"/>
      <c r="L150" s="38">
        <f>'AMPE-MCVE'!M87</f>
        <v>3240</v>
      </c>
      <c r="M150" s="38">
        <f>'AMPE-MCVE'!N87</f>
        <v>842.58503401360554</v>
      </c>
      <c r="N150" s="38">
        <f t="shared" ref="N150:N151" si="114">F150-300</f>
        <v>3480</v>
      </c>
      <c r="O150" s="37">
        <f t="shared" si="111"/>
        <v>31.376344086021504</v>
      </c>
      <c r="P150" s="37">
        <f t="shared" ref="P150:P151" si="115">(M150-340)*100/17000</f>
        <v>2.9563825530212089</v>
      </c>
      <c r="Q150" s="37">
        <f t="shared" ref="Q150:Q151" si="116">(N150-237)*100/218000</f>
        <v>1.4876146788990825</v>
      </c>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row>
    <row r="151" spans="2:46" x14ac:dyDescent="0.3">
      <c r="B151" s="41">
        <v>44501</v>
      </c>
      <c r="C151" s="34">
        <f t="shared" ref="C151:C152" si="117">H151+I151+J151</f>
        <v>41.663705126708329</v>
      </c>
      <c r="D151" s="34">
        <f t="shared" ref="D151:D152" si="118">O151+P151+Q151</f>
        <v>38.411214556209323</v>
      </c>
      <c r="E151" s="35"/>
      <c r="F151" s="36">
        <f>'AMPE-MCVE'!F88</f>
        <v>4380</v>
      </c>
      <c r="G151" s="36">
        <f>'AMPE-MCVE'!G88</f>
        <v>2600</v>
      </c>
      <c r="H151" s="34">
        <f t="shared" ref="H151" si="119">(F151-237)*100/20273</f>
        <v>20.436047945543333</v>
      </c>
      <c r="I151" s="34">
        <f t="shared" si="112"/>
        <v>0.98511986773215765</v>
      </c>
      <c r="J151" s="34">
        <f t="shared" si="113"/>
        <v>20.242537313432837</v>
      </c>
      <c r="K151" s="35"/>
      <c r="L151" s="36">
        <f>'AMPE-MCVE'!M88</f>
        <v>3440</v>
      </c>
      <c r="M151" s="36">
        <f>'AMPE-MCVE'!N88</f>
        <v>870.65309584393549</v>
      </c>
      <c r="N151" s="36">
        <f t="shared" si="114"/>
        <v>4080</v>
      </c>
      <c r="O151" s="34">
        <f t="shared" ref="O151:O152" si="120">(L151-322)*100/9300</f>
        <v>33.526881720430104</v>
      </c>
      <c r="P151" s="34">
        <f t="shared" si="115"/>
        <v>3.1214887990819737</v>
      </c>
      <c r="Q151" s="34">
        <f t="shared" si="116"/>
        <v>1.7628440366972478</v>
      </c>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row>
    <row r="152" spans="2:46" x14ac:dyDescent="0.3">
      <c r="B152" s="42">
        <v>44531</v>
      </c>
      <c r="C152" s="37">
        <f t="shared" si="117"/>
        <v>44.512995698116654</v>
      </c>
      <c r="D152" s="37">
        <f t="shared" si="118"/>
        <v>40.629008750544443</v>
      </c>
      <c r="E152" s="16"/>
      <c r="F152" s="38">
        <f>'AMPE-MCVE'!F89</f>
        <v>4660</v>
      </c>
      <c r="G152" s="38">
        <f>'AMPE-MCVE'!G89</f>
        <v>2750</v>
      </c>
      <c r="H152" s="37">
        <f>(F152-237)*100/20273</f>
        <v>21.817195284368371</v>
      </c>
      <c r="I152" s="37">
        <f t="shared" ref="I152:I153" si="121">((G152-103)-352)*100/217740</f>
        <v>1.0540093689721686</v>
      </c>
      <c r="J152" s="37">
        <f t="shared" ref="J152:J153" si="122">(G152-430)*100/10720</f>
        <v>21.64179104477612</v>
      </c>
      <c r="K152" s="35"/>
      <c r="L152" s="38">
        <f>'AMPE-MCVE'!M89</f>
        <v>3600</v>
      </c>
      <c r="M152" s="38">
        <f>'AMPE-MCVE'!N89</f>
        <v>933.37012821601434</v>
      </c>
      <c r="N152" s="38">
        <f t="shared" ref="N152:N153" si="123">F152-300</f>
        <v>4360</v>
      </c>
      <c r="O152" s="37">
        <f t="shared" si="120"/>
        <v>35.247311827956992</v>
      </c>
      <c r="P152" s="37">
        <f t="shared" ref="P152:P153" si="124">(M152-340)*100/17000</f>
        <v>3.4904125189177315</v>
      </c>
      <c r="Q152" s="37">
        <f t="shared" ref="Q152:Q153" si="125">(N152-237)*100/218000</f>
        <v>1.8912844036697247</v>
      </c>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row>
    <row r="153" spans="2:46" x14ac:dyDescent="0.3">
      <c r="B153" s="41">
        <v>44562</v>
      </c>
      <c r="C153" s="34">
        <f t="shared" ref="C153" si="126">H153+I153+J153</f>
        <v>47.065548959651963</v>
      </c>
      <c r="D153" s="34">
        <f t="shared" ref="D153" si="127">O153+P153+Q153</f>
        <v>42.718982781769256</v>
      </c>
      <c r="E153" s="35"/>
      <c r="F153" s="36">
        <f>'AMPE-MCVE'!F90</f>
        <v>4860</v>
      </c>
      <c r="G153" s="36">
        <f>'AMPE-MCVE'!G90</f>
        <v>2910</v>
      </c>
      <c r="H153" s="34">
        <f t="shared" ref="H153" si="128">(F153-237)*100/20273</f>
        <v>22.803729097814827</v>
      </c>
      <c r="I153" s="34">
        <f t="shared" si="121"/>
        <v>1.1274915036281803</v>
      </c>
      <c r="J153" s="34">
        <f t="shared" si="122"/>
        <v>23.134328358208954</v>
      </c>
      <c r="K153" s="35"/>
      <c r="L153" s="36">
        <f>'AMPE-MCVE'!M90</f>
        <v>3760</v>
      </c>
      <c r="M153" s="36">
        <f>'AMPE-MCVE'!N90</f>
        <v>980.59626496943315</v>
      </c>
      <c r="N153" s="36">
        <f t="shared" si="123"/>
        <v>4560</v>
      </c>
      <c r="O153" s="34">
        <f t="shared" ref="O153" si="129">(L153-322)*100/9300</f>
        <v>36.967741935483872</v>
      </c>
      <c r="P153" s="34">
        <f t="shared" si="124"/>
        <v>3.7682133233496069</v>
      </c>
      <c r="Q153" s="34">
        <f t="shared" si="125"/>
        <v>1.9830275229357799</v>
      </c>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row>
    <row r="154" spans="2:46" x14ac:dyDescent="0.3">
      <c r="B154" s="16"/>
      <c r="C154" s="16"/>
      <c r="D154" s="16"/>
      <c r="E154" s="16"/>
      <c r="F154" s="24"/>
      <c r="G154" s="24"/>
      <c r="H154" s="24"/>
      <c r="I154" s="24"/>
      <c r="J154" s="24"/>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row>
    <row r="155" spans="2:46" x14ac:dyDescent="0.3">
      <c r="B155" s="16"/>
      <c r="C155" s="16"/>
      <c r="D155" s="16"/>
      <c r="E155" s="16"/>
      <c r="F155" s="24"/>
      <c r="G155" s="24"/>
      <c r="H155" s="24"/>
      <c r="I155" s="24"/>
      <c r="J155" s="24"/>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row>
    <row r="156" spans="2:46" x14ac:dyDescent="0.3">
      <c r="B156" s="16"/>
      <c r="C156" s="16"/>
      <c r="D156" s="16"/>
      <c r="E156" s="16"/>
      <c r="F156" s="24"/>
      <c r="G156" s="24"/>
      <c r="H156" s="24"/>
      <c r="I156" s="24"/>
      <c r="J156" s="24"/>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row>
    <row r="157" spans="2:46" x14ac:dyDescent="0.3">
      <c r="B157" s="16"/>
      <c r="C157" s="16"/>
      <c r="D157" s="16"/>
      <c r="E157" s="16"/>
      <c r="F157" s="24"/>
      <c r="G157" s="24"/>
      <c r="H157" s="24"/>
      <c r="I157" s="24"/>
      <c r="J157" s="24"/>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2:46" x14ac:dyDescent="0.3">
      <c r="B158" s="16"/>
      <c r="C158" s="16"/>
      <c r="D158" s="16"/>
      <c r="E158" s="16"/>
      <c r="F158" s="24"/>
      <c r="G158" s="24"/>
      <c r="H158" s="24"/>
      <c r="I158" s="24"/>
      <c r="J158" s="24"/>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row>
    <row r="159" spans="2:46" x14ac:dyDescent="0.3">
      <c r="B159" s="16"/>
      <c r="C159" s="16"/>
      <c r="D159" s="16"/>
      <c r="E159" s="16"/>
      <c r="F159" s="24"/>
      <c r="G159" s="24"/>
      <c r="H159" s="24"/>
      <c r="I159" s="24"/>
      <c r="J159" s="24"/>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row>
    <row r="160" spans="2:46" x14ac:dyDescent="0.3">
      <c r="B160" s="16"/>
      <c r="C160" s="16"/>
      <c r="D160" s="16"/>
      <c r="E160" s="16"/>
      <c r="F160" s="24"/>
      <c r="G160" s="24"/>
      <c r="H160" s="24"/>
      <c r="I160" s="24"/>
      <c r="J160" s="24"/>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row>
    <row r="161" spans="2:46" x14ac:dyDescent="0.3">
      <c r="B161" s="16"/>
      <c r="C161" s="16"/>
      <c r="D161" s="16"/>
      <c r="E161" s="16"/>
      <c r="F161" s="24"/>
      <c r="G161" s="24"/>
      <c r="H161" s="24"/>
      <c r="I161" s="24"/>
      <c r="J161" s="24"/>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row>
    <row r="162" spans="2:46" x14ac:dyDescent="0.3">
      <c r="B162" s="16"/>
      <c r="C162" s="16"/>
      <c r="D162" s="16"/>
      <c r="E162" s="16"/>
      <c r="F162" s="24"/>
      <c r="G162" s="24"/>
      <c r="H162" s="24"/>
      <c r="I162" s="24"/>
      <c r="J162" s="24"/>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row>
    <row r="163" spans="2:46" x14ac:dyDescent="0.3">
      <c r="B163" s="16"/>
      <c r="C163" s="16"/>
      <c r="D163" s="16"/>
      <c r="E163" s="16"/>
      <c r="F163" s="24"/>
      <c r="G163" s="24"/>
      <c r="H163" s="24"/>
      <c r="I163" s="24"/>
      <c r="J163" s="24"/>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row>
    <row r="164" spans="2:46" x14ac:dyDescent="0.3">
      <c r="B164" s="16"/>
      <c r="C164" s="16"/>
      <c r="D164" s="16"/>
      <c r="E164" s="16"/>
      <c r="F164" s="24"/>
      <c r="G164" s="24"/>
      <c r="H164" s="24"/>
      <c r="I164" s="24"/>
      <c r="J164" s="24"/>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row>
    <row r="165" spans="2:46" x14ac:dyDescent="0.3">
      <c r="B165" s="16"/>
      <c r="C165" s="16"/>
      <c r="D165" s="16"/>
      <c r="E165" s="16"/>
      <c r="F165" s="24"/>
      <c r="G165" s="24"/>
      <c r="H165" s="24"/>
      <c r="I165" s="24"/>
      <c r="J165" s="24"/>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row>
    <row r="166" spans="2:46" x14ac:dyDescent="0.3">
      <c r="B166" s="16"/>
      <c r="C166" s="16"/>
      <c r="D166" s="16"/>
      <c r="E166" s="16"/>
      <c r="F166" s="24"/>
      <c r="G166" s="24"/>
      <c r="H166" s="24"/>
      <c r="I166" s="24"/>
      <c r="J166" s="24"/>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row>
    <row r="167" spans="2:46" x14ac:dyDescent="0.3">
      <c r="B167" s="16"/>
      <c r="C167" s="16"/>
      <c r="D167" s="16"/>
      <c r="E167" s="16"/>
      <c r="F167" s="24"/>
      <c r="G167" s="24"/>
      <c r="H167" s="24"/>
      <c r="I167" s="24"/>
      <c r="J167" s="24"/>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row>
    <row r="168" spans="2:46" x14ac:dyDescent="0.3">
      <c r="B168" s="16"/>
      <c r="C168" s="16"/>
      <c r="D168" s="16"/>
      <c r="E168" s="16"/>
      <c r="F168" s="24"/>
      <c r="G168" s="24"/>
      <c r="H168" s="24"/>
      <c r="I168" s="24"/>
      <c r="J168" s="24"/>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2:46" x14ac:dyDescent="0.3">
      <c r="B169" s="16"/>
      <c r="C169" s="16"/>
      <c r="D169" s="16"/>
      <c r="E169" s="16"/>
      <c r="F169" s="24"/>
      <c r="G169" s="24"/>
      <c r="H169" s="24"/>
      <c r="I169" s="24"/>
      <c r="J169" s="24"/>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row>
    <row r="170" spans="2:46" x14ac:dyDescent="0.3">
      <c r="B170" s="16"/>
      <c r="C170" s="16"/>
      <c r="D170" s="16"/>
      <c r="E170" s="16"/>
      <c r="F170" s="24"/>
      <c r="G170" s="24"/>
      <c r="H170" s="24"/>
      <c r="I170" s="24"/>
      <c r="J170" s="24"/>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row>
    <row r="171" spans="2:46" x14ac:dyDescent="0.3">
      <c r="B171" s="16"/>
      <c r="C171" s="16"/>
      <c r="D171" s="16"/>
      <c r="E171" s="16"/>
      <c r="F171" s="24"/>
      <c r="G171" s="24"/>
      <c r="H171" s="24"/>
      <c r="I171" s="24"/>
      <c r="J171" s="24"/>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row>
    <row r="172" spans="2:46" x14ac:dyDescent="0.3">
      <c r="B172" s="16"/>
      <c r="C172" s="16"/>
      <c r="D172" s="16"/>
      <c r="E172" s="16"/>
      <c r="F172" s="24"/>
      <c r="G172" s="24"/>
      <c r="H172" s="24"/>
      <c r="I172" s="24"/>
      <c r="J172" s="24"/>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row>
    <row r="173" spans="2:46" x14ac:dyDescent="0.3">
      <c r="B173" s="16"/>
      <c r="C173" s="16"/>
      <c r="D173" s="16"/>
      <c r="E173" s="16"/>
      <c r="F173" s="24"/>
      <c r="G173" s="24"/>
      <c r="H173" s="24"/>
      <c r="I173" s="24"/>
      <c r="J173" s="24"/>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row>
    <row r="174" spans="2:46" x14ac:dyDescent="0.3">
      <c r="B174" s="16"/>
      <c r="C174" s="16"/>
      <c r="D174" s="16"/>
      <c r="E174" s="16"/>
      <c r="F174" s="24"/>
      <c r="G174" s="24"/>
      <c r="H174" s="24"/>
      <c r="I174" s="24"/>
      <c r="J174" s="24"/>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row>
    <row r="175" spans="2:46" x14ac:dyDescent="0.3">
      <c r="B175" s="16"/>
      <c r="C175" s="16"/>
      <c r="D175" s="16"/>
      <c r="E175" s="16"/>
      <c r="F175" s="24"/>
      <c r="G175" s="24"/>
      <c r="H175" s="24"/>
      <c r="I175" s="24"/>
      <c r="J175" s="24"/>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row>
    <row r="176" spans="2:46" x14ac:dyDescent="0.3">
      <c r="B176" s="16"/>
      <c r="C176" s="16"/>
      <c r="D176" s="16"/>
      <c r="E176" s="16"/>
      <c r="F176" s="24"/>
      <c r="G176" s="24"/>
      <c r="H176" s="24"/>
      <c r="I176" s="24"/>
      <c r="J176" s="24"/>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row>
    <row r="177" spans="2:46" x14ac:dyDescent="0.3">
      <c r="B177" s="16"/>
      <c r="C177" s="16"/>
      <c r="D177" s="16"/>
      <c r="E177" s="16"/>
      <c r="F177" s="24"/>
      <c r="G177" s="24"/>
      <c r="H177" s="24"/>
      <c r="I177" s="24"/>
      <c r="J177" s="24"/>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row>
    <row r="178" spans="2:46" x14ac:dyDescent="0.3">
      <c r="B178" s="16"/>
      <c r="C178" s="16"/>
      <c r="D178" s="16"/>
      <c r="E178" s="16"/>
      <c r="F178" s="24"/>
      <c r="G178" s="24"/>
      <c r="H178" s="24"/>
      <c r="I178" s="24"/>
      <c r="J178" s="24"/>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row>
    <row r="179" spans="2:46" x14ac:dyDescent="0.3">
      <c r="B179" s="16"/>
      <c r="C179" s="16"/>
      <c r="D179" s="16"/>
      <c r="E179" s="16"/>
      <c r="F179" s="24"/>
      <c r="G179" s="24"/>
      <c r="H179" s="24"/>
      <c r="I179" s="24"/>
      <c r="J179" s="24"/>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row>
    <row r="180" spans="2:46" x14ac:dyDescent="0.3">
      <c r="B180" s="16"/>
      <c r="C180" s="16"/>
      <c r="D180" s="16"/>
      <c r="E180" s="16"/>
      <c r="F180" s="24"/>
      <c r="G180" s="24"/>
      <c r="H180" s="24"/>
      <c r="I180" s="24"/>
      <c r="J180" s="24"/>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row>
    <row r="181" spans="2:46" x14ac:dyDescent="0.3">
      <c r="B181" s="16"/>
      <c r="C181" s="16"/>
      <c r="D181" s="16"/>
      <c r="E181" s="16"/>
      <c r="F181" s="24"/>
      <c r="G181" s="24"/>
      <c r="H181" s="24"/>
      <c r="I181" s="24"/>
      <c r="J181" s="24"/>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row>
    <row r="182" spans="2:46" x14ac:dyDescent="0.3">
      <c r="B182" s="16"/>
      <c r="C182" s="16"/>
      <c r="D182" s="16"/>
      <c r="E182" s="16"/>
      <c r="F182" s="24"/>
      <c r="G182" s="24"/>
      <c r="H182" s="24"/>
      <c r="I182" s="24"/>
      <c r="J182" s="24" t="e">
        <f>#REF!-#REF!</f>
        <v>#REF!</v>
      </c>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row>
    <row r="183" spans="2:46" x14ac:dyDescent="0.3">
      <c r="B183" s="16"/>
      <c r="C183" s="16"/>
      <c r="D183" s="16"/>
      <c r="E183" s="16"/>
      <c r="F183" s="24"/>
      <c r="G183" s="24"/>
      <c r="H183" s="24"/>
      <c r="I183" s="24"/>
      <c r="J183" s="24"/>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row>
    <row r="184" spans="2:46" x14ac:dyDescent="0.3">
      <c r="B184" s="16"/>
      <c r="C184" s="16"/>
      <c r="D184" s="16"/>
      <c r="E184" s="16"/>
      <c r="F184" s="24"/>
      <c r="G184" s="24"/>
      <c r="H184" s="24"/>
      <c r="I184" s="24"/>
      <c r="J184" s="24"/>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row>
    <row r="185" spans="2:46" x14ac:dyDescent="0.3">
      <c r="B185" s="16"/>
      <c r="C185" s="16"/>
      <c r="D185" s="16"/>
      <c r="E185" s="16"/>
      <c r="F185" s="24"/>
      <c r="G185" s="24"/>
      <c r="H185" s="24"/>
      <c r="I185" s="24"/>
      <c r="J185" s="24"/>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row>
    <row r="186" spans="2:46" x14ac:dyDescent="0.3">
      <c r="B186" s="16"/>
      <c r="C186" s="16"/>
      <c r="D186" s="16"/>
      <c r="E186" s="16"/>
      <c r="F186" s="24"/>
      <c r="G186" s="24"/>
      <c r="H186" s="24"/>
      <c r="I186" s="24"/>
      <c r="J186" s="24"/>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row>
    <row r="187" spans="2:46" x14ac:dyDescent="0.3">
      <c r="B187" s="16"/>
      <c r="C187" s="16"/>
      <c r="D187" s="16"/>
      <c r="E187" s="16"/>
      <c r="F187" s="24"/>
      <c r="G187" s="24"/>
      <c r="H187" s="24"/>
      <c r="I187" s="24"/>
      <c r="J187" s="24"/>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row>
    <row r="188" spans="2:46" x14ac:dyDescent="0.3">
      <c r="B188" s="16"/>
      <c r="C188" s="16"/>
      <c r="D188" s="16"/>
      <c r="E188" s="16"/>
      <c r="F188" s="24"/>
      <c r="G188" s="24"/>
      <c r="H188" s="24"/>
      <c r="I188" s="24"/>
      <c r="J188" s="24"/>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row>
    <row r="189" spans="2:46" x14ac:dyDescent="0.3">
      <c r="B189" s="16"/>
      <c r="C189" s="16"/>
      <c r="D189" s="16"/>
      <c r="E189" s="16"/>
      <c r="F189" s="24"/>
      <c r="G189" s="24"/>
      <c r="H189" s="24"/>
      <c r="I189" s="24"/>
      <c r="J189" s="24"/>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row>
    <row r="190" spans="2:46" x14ac:dyDescent="0.3">
      <c r="B190" s="16"/>
      <c r="C190" s="16"/>
      <c r="D190" s="16"/>
      <c r="E190" s="16"/>
      <c r="F190" s="24"/>
      <c r="G190" s="24"/>
      <c r="H190" s="24"/>
      <c r="I190" s="24"/>
      <c r="J190" s="24"/>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row>
    <row r="191" spans="2:46" x14ac:dyDescent="0.3">
      <c r="B191" s="16"/>
      <c r="C191" s="16"/>
      <c r="D191" s="16"/>
      <c r="E191" s="16"/>
      <c r="F191" s="24"/>
      <c r="G191" s="24"/>
      <c r="H191" s="24"/>
      <c r="I191" s="24"/>
      <c r="J191" s="24"/>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row>
    <row r="192" spans="2:46" x14ac:dyDescent="0.3">
      <c r="B192" s="16"/>
      <c r="C192" s="16"/>
      <c r="D192" s="16"/>
      <c r="E192" s="16"/>
      <c r="F192" s="24"/>
      <c r="G192" s="24"/>
      <c r="H192" s="24"/>
      <c r="I192" s="24"/>
      <c r="J192" s="24"/>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row>
    <row r="193" spans="2:46" x14ac:dyDescent="0.3">
      <c r="B193" s="16"/>
      <c r="C193" s="16"/>
      <c r="D193" s="16"/>
      <c r="E193" s="16"/>
      <c r="F193" s="24"/>
      <c r="G193" s="24"/>
      <c r="H193" s="24"/>
      <c r="I193" s="24"/>
      <c r="J193" s="24"/>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row>
    <row r="194" spans="2:46" x14ac:dyDescent="0.3">
      <c r="B194" s="16"/>
      <c r="C194" s="16"/>
      <c r="D194" s="16"/>
      <c r="E194" s="16"/>
      <c r="F194" s="24"/>
      <c r="G194" s="24"/>
      <c r="H194" s="24"/>
      <c r="I194" s="24"/>
      <c r="J194" s="24"/>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row>
    <row r="195" spans="2:46" x14ac:dyDescent="0.3">
      <c r="B195" s="16"/>
      <c r="C195" s="16"/>
      <c r="D195" s="16"/>
      <c r="E195" s="16"/>
      <c r="F195" s="24"/>
      <c r="G195" s="24"/>
      <c r="H195" s="24"/>
      <c r="I195" s="24"/>
      <c r="J195" s="24"/>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row>
    <row r="196" spans="2:46" x14ac:dyDescent="0.3">
      <c r="B196" s="16"/>
      <c r="C196" s="16"/>
      <c r="D196" s="16"/>
      <c r="E196" s="16"/>
      <c r="F196" s="24"/>
      <c r="G196" s="24"/>
      <c r="H196" s="24"/>
      <c r="I196" s="24"/>
      <c r="J196" s="24"/>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row>
    <row r="197" spans="2:46" x14ac:dyDescent="0.3">
      <c r="B197" s="16"/>
      <c r="C197" s="16"/>
      <c r="D197" s="16"/>
      <c r="E197" s="16"/>
      <c r="F197" s="24"/>
      <c r="G197" s="24"/>
      <c r="H197" s="24"/>
      <c r="I197" s="24"/>
      <c r="J197" s="24"/>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row>
    <row r="198" spans="2:46" x14ac:dyDescent="0.3">
      <c r="B198" s="16"/>
      <c r="C198" s="16"/>
      <c r="D198" s="16"/>
      <c r="E198" s="16"/>
      <c r="F198" s="24"/>
      <c r="G198" s="24"/>
      <c r="H198" s="24"/>
      <c r="I198" s="24"/>
      <c r="J198" s="24"/>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row>
    <row r="199" spans="2:46" x14ac:dyDescent="0.3">
      <c r="B199" s="16"/>
      <c r="C199" s="16"/>
      <c r="D199" s="16"/>
      <c r="E199" s="16"/>
      <c r="F199" s="24"/>
      <c r="G199" s="24"/>
      <c r="H199" s="24"/>
      <c r="I199" s="24"/>
      <c r="J199" s="24"/>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row>
    <row r="200" spans="2:46" x14ac:dyDescent="0.3">
      <c r="B200" s="16"/>
      <c r="C200" s="16"/>
      <c r="D200" s="16"/>
      <c r="E200" s="16"/>
      <c r="F200" s="24"/>
      <c r="G200" s="24"/>
      <c r="H200" s="24"/>
      <c r="I200" s="24"/>
      <c r="J200" s="24"/>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row>
    <row r="201" spans="2:46" x14ac:dyDescent="0.3">
      <c r="B201" s="16"/>
      <c r="C201" s="16"/>
      <c r="D201" s="16"/>
      <c r="E201" s="16"/>
      <c r="F201" s="24"/>
      <c r="G201" s="24"/>
      <c r="H201" s="24"/>
      <c r="I201" s="24"/>
      <c r="J201" s="24"/>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row>
    <row r="202" spans="2:46" x14ac:dyDescent="0.3">
      <c r="B202" s="16"/>
      <c r="C202" s="16"/>
      <c r="D202" s="16"/>
      <c r="E202" s="16"/>
      <c r="F202" s="24"/>
      <c r="G202" s="24"/>
      <c r="H202" s="24"/>
      <c r="I202" s="24"/>
      <c r="J202" s="24"/>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row>
    <row r="203" spans="2:46" x14ac:dyDescent="0.3">
      <c r="B203" s="16"/>
      <c r="C203" s="16"/>
      <c r="D203" s="16"/>
      <c r="E203" s="16"/>
      <c r="F203" s="24"/>
      <c r="G203" s="24"/>
      <c r="H203" s="24"/>
      <c r="I203" s="24"/>
      <c r="J203" s="24"/>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row>
    <row r="204" spans="2:46" x14ac:dyDescent="0.3">
      <c r="B204" s="16"/>
      <c r="C204" s="16"/>
      <c r="D204" s="16"/>
      <c r="E204" s="16"/>
      <c r="F204" s="24"/>
      <c r="G204" s="24"/>
      <c r="H204" s="24"/>
      <c r="I204" s="24"/>
      <c r="J204" s="24"/>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row>
    <row r="205" spans="2:46" x14ac:dyDescent="0.3">
      <c r="B205" s="16"/>
      <c r="C205" s="16"/>
      <c r="D205" s="16"/>
      <c r="E205" s="16"/>
      <c r="F205" s="24"/>
      <c r="G205" s="24"/>
      <c r="H205" s="24"/>
      <c r="I205" s="24"/>
      <c r="J205" s="24"/>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row>
    <row r="206" spans="2:46" x14ac:dyDescent="0.3">
      <c r="B206" s="16"/>
      <c r="C206" s="16"/>
      <c r="D206" s="16"/>
      <c r="E206" s="16"/>
      <c r="F206" s="24"/>
      <c r="G206" s="24"/>
      <c r="H206" s="24"/>
      <c r="I206" s="24"/>
      <c r="J206" s="24"/>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row>
    <row r="207" spans="2:46" x14ac:dyDescent="0.3">
      <c r="B207" s="16"/>
      <c r="C207" s="16"/>
      <c r="D207" s="16"/>
      <c r="E207" s="16"/>
      <c r="F207" s="24"/>
      <c r="G207" s="24"/>
      <c r="H207" s="24"/>
      <c r="I207" s="24"/>
      <c r="J207" s="24"/>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row>
    <row r="208" spans="2:46" x14ac:dyDescent="0.3">
      <c r="B208" s="16"/>
      <c r="C208" s="16"/>
      <c r="D208" s="16"/>
      <c r="E208" s="16"/>
      <c r="F208" s="24"/>
      <c r="G208" s="24"/>
      <c r="H208" s="24"/>
      <c r="I208" s="24"/>
      <c r="J208" s="24"/>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row>
    <row r="209" spans="2:46" x14ac:dyDescent="0.3">
      <c r="B209" s="16"/>
      <c r="C209" s="16"/>
      <c r="D209" s="16"/>
      <c r="E209" s="16"/>
      <c r="F209" s="24"/>
      <c r="G209" s="24"/>
      <c r="H209" s="24"/>
      <c r="I209" s="24"/>
      <c r="J209" s="24"/>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row>
    <row r="210" spans="2:46" x14ac:dyDescent="0.3">
      <c r="B210" s="16"/>
      <c r="C210" s="16"/>
      <c r="D210" s="16"/>
      <c r="E210" s="16"/>
      <c r="F210" s="24"/>
      <c r="G210" s="24"/>
      <c r="H210" s="24"/>
      <c r="I210" s="24"/>
      <c r="J210" s="24"/>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row>
    <row r="211" spans="2:46" x14ac:dyDescent="0.3">
      <c r="B211" s="16"/>
      <c r="C211" s="16"/>
      <c r="D211" s="16"/>
      <c r="E211" s="16"/>
      <c r="F211" s="24"/>
      <c r="G211" s="24"/>
      <c r="H211" s="24"/>
      <c r="I211" s="24"/>
      <c r="J211" s="24"/>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row>
    <row r="212" spans="2:46" x14ac:dyDescent="0.3">
      <c r="B212" s="16"/>
      <c r="C212" s="16"/>
      <c r="D212" s="16"/>
      <c r="E212" s="16"/>
      <c r="F212" s="24"/>
      <c r="G212" s="24"/>
      <c r="H212" s="24"/>
      <c r="I212" s="24"/>
      <c r="J212" s="24"/>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row>
    <row r="213" spans="2:46" x14ac:dyDescent="0.3">
      <c r="B213" s="16"/>
      <c r="C213" s="16"/>
      <c r="D213" s="16"/>
      <c r="E213" s="16"/>
      <c r="F213" s="24"/>
      <c r="G213" s="24"/>
      <c r="H213" s="24"/>
      <c r="I213" s="24"/>
      <c r="J213" s="24"/>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row>
    <row r="214" spans="2:46" x14ac:dyDescent="0.3">
      <c r="B214" s="16"/>
      <c r="C214" s="16"/>
      <c r="D214" s="16"/>
      <c r="E214" s="16"/>
      <c r="F214" s="24"/>
      <c r="G214" s="24"/>
      <c r="H214" s="24"/>
      <c r="I214" s="24"/>
      <c r="J214" s="24"/>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row>
    <row r="215" spans="2:46" x14ac:dyDescent="0.3">
      <c r="B215" s="16"/>
      <c r="C215" s="16"/>
      <c r="D215" s="16"/>
      <c r="E215" s="16"/>
      <c r="F215" s="24"/>
      <c r="G215" s="24"/>
      <c r="H215" s="24"/>
      <c r="I215" s="24"/>
      <c r="J215" s="24"/>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row>
    <row r="216" spans="2:46" x14ac:dyDescent="0.3">
      <c r="B216" s="16"/>
      <c r="C216" s="16"/>
      <c r="D216" s="16"/>
      <c r="E216" s="16"/>
      <c r="F216" s="24"/>
      <c r="G216" s="24"/>
      <c r="H216" s="24"/>
      <c r="I216" s="24"/>
      <c r="J216" s="24"/>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row>
    <row r="217" spans="2:46" x14ac:dyDescent="0.3">
      <c r="B217" s="16"/>
      <c r="C217" s="16"/>
      <c r="D217" s="16"/>
      <c r="E217" s="16"/>
      <c r="F217" s="24"/>
      <c r="G217" s="24"/>
      <c r="H217" s="24"/>
      <c r="I217" s="24"/>
      <c r="J217" s="24"/>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row>
    <row r="218" spans="2:46" x14ac:dyDescent="0.3">
      <c r="B218" s="16"/>
      <c r="C218" s="16"/>
      <c r="D218" s="16"/>
      <c r="E218" s="16"/>
      <c r="F218" s="24"/>
      <c r="G218" s="24"/>
      <c r="H218" s="24"/>
      <c r="I218" s="24"/>
      <c r="J218" s="24"/>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row>
    <row r="219" spans="2:46" x14ac:dyDescent="0.3">
      <c r="B219" s="16"/>
      <c r="C219" s="16"/>
      <c r="D219" s="16"/>
      <c r="E219" s="16"/>
      <c r="F219" s="24"/>
      <c r="G219" s="24"/>
      <c r="H219" s="24"/>
      <c r="I219" s="24"/>
      <c r="J219" s="24"/>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row>
    <row r="220" spans="2:46" x14ac:dyDescent="0.3">
      <c r="B220" s="16"/>
      <c r="C220" s="16"/>
      <c r="D220" s="16"/>
      <c r="E220" s="16"/>
      <c r="F220" s="24"/>
      <c r="G220" s="24"/>
      <c r="H220" s="24"/>
      <c r="I220" s="24"/>
      <c r="J220" s="24"/>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row>
    <row r="221" spans="2:46" x14ac:dyDescent="0.3">
      <c r="B221" s="16"/>
      <c r="C221" s="16"/>
      <c r="D221" s="16"/>
      <c r="E221" s="16"/>
      <c r="F221" s="24"/>
      <c r="G221" s="24"/>
      <c r="H221" s="24"/>
      <c r="I221" s="24"/>
      <c r="J221" s="24"/>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row>
    <row r="222" spans="2:46" x14ac:dyDescent="0.3">
      <c r="B222" s="16"/>
      <c r="C222" s="16"/>
      <c r="D222" s="16"/>
      <c r="E222" s="16"/>
      <c r="F222" s="24"/>
      <c r="G222" s="24"/>
      <c r="H222" s="24"/>
      <c r="I222" s="24"/>
      <c r="J222" s="24"/>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row>
    <row r="223" spans="2:46" x14ac:dyDescent="0.3">
      <c r="B223" s="16"/>
      <c r="C223" s="16"/>
      <c r="D223" s="16"/>
      <c r="E223" s="16"/>
      <c r="F223" s="24"/>
      <c r="G223" s="24"/>
      <c r="H223" s="24"/>
      <c r="I223" s="24"/>
      <c r="J223" s="24"/>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row>
    <row r="224" spans="2:46" x14ac:dyDescent="0.3">
      <c r="B224" s="16"/>
      <c r="C224" s="16"/>
      <c r="D224" s="16"/>
      <c r="E224" s="16"/>
      <c r="F224" s="24"/>
      <c r="G224" s="24"/>
      <c r="H224" s="24"/>
      <c r="I224" s="24"/>
      <c r="J224" s="24"/>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row>
    <row r="225" spans="2:46" x14ac:dyDescent="0.3">
      <c r="B225" s="16"/>
      <c r="C225" s="16"/>
      <c r="D225" s="16"/>
      <c r="E225" s="16"/>
      <c r="F225" s="24"/>
      <c r="G225" s="24"/>
      <c r="H225" s="24"/>
      <c r="I225" s="24"/>
      <c r="J225" s="24"/>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row>
    <row r="226" spans="2:46" x14ac:dyDescent="0.3">
      <c r="B226" s="16"/>
      <c r="C226" s="16"/>
      <c r="D226" s="16"/>
      <c r="E226" s="16"/>
      <c r="F226" s="24"/>
      <c r="G226" s="24"/>
      <c r="H226" s="24"/>
      <c r="I226" s="24"/>
      <c r="J226" s="24"/>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row>
    <row r="227" spans="2:46" x14ac:dyDescent="0.3">
      <c r="B227" s="16"/>
      <c r="C227" s="16"/>
      <c r="D227" s="16"/>
      <c r="E227" s="16"/>
      <c r="F227" s="24"/>
      <c r="G227" s="24"/>
      <c r="H227" s="24"/>
      <c r="I227" s="24"/>
      <c r="J227" s="24"/>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row>
    <row r="228" spans="2:46" x14ac:dyDescent="0.3">
      <c r="B228" s="16"/>
      <c r="C228" s="16"/>
      <c r="D228" s="16"/>
      <c r="E228" s="16"/>
      <c r="F228" s="24"/>
      <c r="G228" s="24"/>
      <c r="H228" s="24"/>
      <c r="I228" s="24"/>
      <c r="J228" s="24"/>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row>
    <row r="229" spans="2:46" x14ac:dyDescent="0.3">
      <c r="B229" s="16"/>
      <c r="C229" s="16"/>
      <c r="D229" s="16"/>
      <c r="E229" s="16"/>
      <c r="F229" s="24"/>
      <c r="G229" s="24"/>
      <c r="H229" s="24"/>
      <c r="I229" s="24"/>
      <c r="J229" s="24"/>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row>
    <row r="230" spans="2:46" x14ac:dyDescent="0.3">
      <c r="B230" s="16"/>
      <c r="C230" s="16"/>
      <c r="D230" s="16"/>
      <c r="E230" s="16"/>
      <c r="F230" s="24"/>
      <c r="G230" s="24"/>
      <c r="H230" s="24"/>
      <c r="I230" s="24"/>
      <c r="J230" s="24"/>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row>
    <row r="231" spans="2:46" x14ac:dyDescent="0.3">
      <c r="B231" s="16"/>
      <c r="C231" s="16"/>
      <c r="D231" s="16"/>
      <c r="E231" s="16"/>
      <c r="F231" s="24"/>
      <c r="G231" s="24"/>
      <c r="H231" s="24"/>
      <c r="I231" s="24"/>
      <c r="J231" s="24"/>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row>
    <row r="232" spans="2:46" x14ac:dyDescent="0.3">
      <c r="B232" s="16"/>
      <c r="C232" s="16"/>
      <c r="D232" s="16"/>
      <c r="E232" s="16"/>
      <c r="F232" s="24"/>
      <c r="G232" s="24"/>
      <c r="H232" s="24"/>
      <c r="I232" s="24"/>
      <c r="J232" s="24"/>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row>
    <row r="233" spans="2:46" x14ac:dyDescent="0.3">
      <c r="B233" s="16"/>
      <c r="C233" s="16"/>
      <c r="D233" s="16"/>
      <c r="E233" s="16"/>
      <c r="F233" s="24"/>
      <c r="G233" s="24"/>
      <c r="H233" s="24"/>
      <c r="I233" s="24"/>
      <c r="J233" s="24"/>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row>
    <row r="234" spans="2:46" x14ac:dyDescent="0.3">
      <c r="B234" s="16"/>
      <c r="C234" s="16"/>
      <c r="D234" s="16"/>
      <c r="E234" s="16"/>
      <c r="F234" s="24"/>
      <c r="G234" s="24"/>
      <c r="H234" s="24"/>
      <c r="I234" s="24"/>
      <c r="J234" s="24"/>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row>
    <row r="235" spans="2:46" x14ac:dyDescent="0.3">
      <c r="B235" s="16"/>
      <c r="C235" s="16"/>
      <c r="D235" s="16"/>
      <c r="E235" s="16"/>
      <c r="F235" s="24"/>
      <c r="G235" s="24"/>
      <c r="H235" s="24"/>
      <c r="I235" s="24"/>
      <c r="J235" s="24"/>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row>
    <row r="236" spans="2:46" x14ac:dyDescent="0.3">
      <c r="B236" s="16"/>
      <c r="C236" s="16"/>
      <c r="D236" s="16"/>
      <c r="E236" s="16"/>
      <c r="F236" s="24"/>
      <c r="G236" s="24"/>
      <c r="H236" s="24"/>
      <c r="I236" s="24"/>
      <c r="J236" s="24"/>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row>
    <row r="237" spans="2:46" x14ac:dyDescent="0.3">
      <c r="B237" s="16"/>
      <c r="C237" s="16"/>
      <c r="D237" s="16"/>
      <c r="E237" s="16"/>
      <c r="F237" s="24"/>
      <c r="G237" s="24"/>
      <c r="H237" s="24"/>
      <c r="I237" s="24"/>
      <c r="J237" s="24"/>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row>
    <row r="238" spans="2:46" x14ac:dyDescent="0.3">
      <c r="B238" s="16"/>
      <c r="C238" s="16"/>
      <c r="D238" s="16"/>
      <c r="E238" s="16"/>
      <c r="F238" s="24"/>
      <c r="G238" s="24"/>
      <c r="H238" s="24"/>
      <c r="I238" s="24"/>
      <c r="J238" s="24"/>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row>
    <row r="239" spans="2:46" x14ac:dyDescent="0.3">
      <c r="B239" s="16"/>
      <c r="C239" s="16"/>
      <c r="D239" s="16"/>
      <c r="E239" s="16"/>
      <c r="F239" s="24"/>
      <c r="G239" s="24"/>
      <c r="H239" s="24"/>
      <c r="I239" s="24"/>
      <c r="J239" s="24"/>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row>
    <row r="240" spans="2:46" x14ac:dyDescent="0.3">
      <c r="B240" s="16"/>
      <c r="C240" s="16"/>
      <c r="D240" s="16"/>
      <c r="E240" s="16"/>
      <c r="F240" s="24"/>
      <c r="G240" s="24"/>
      <c r="H240" s="24"/>
      <c r="I240" s="24"/>
      <c r="J240" s="24"/>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row>
    <row r="241" spans="2:46" x14ac:dyDescent="0.3">
      <c r="B241" s="16"/>
      <c r="C241" s="16"/>
      <c r="D241" s="16"/>
      <c r="E241" s="16"/>
      <c r="F241" s="24"/>
      <c r="G241" s="24"/>
      <c r="H241" s="24"/>
      <c r="I241" s="24"/>
      <c r="J241" s="24"/>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row>
    <row r="242" spans="2:46" x14ac:dyDescent="0.3">
      <c r="B242" s="16"/>
      <c r="C242" s="16"/>
      <c r="D242" s="16"/>
      <c r="E242" s="16"/>
      <c r="F242" s="24"/>
      <c r="G242" s="24"/>
      <c r="H242" s="24"/>
      <c r="I242" s="24"/>
      <c r="J242" s="24"/>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row>
    <row r="243" spans="2:46" x14ac:dyDescent="0.3">
      <c r="B243" s="16"/>
      <c r="C243" s="16"/>
      <c r="D243" s="16"/>
      <c r="E243" s="16"/>
      <c r="F243" s="24"/>
      <c r="G243" s="24"/>
      <c r="H243" s="24"/>
      <c r="I243" s="24"/>
      <c r="J243" s="24"/>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row>
    <row r="244" spans="2:46" x14ac:dyDescent="0.3">
      <c r="B244" s="16"/>
      <c r="C244" s="16"/>
      <c r="D244" s="16"/>
      <c r="E244" s="16"/>
      <c r="F244" s="24"/>
      <c r="G244" s="24"/>
      <c r="H244" s="24"/>
      <c r="I244" s="24"/>
      <c r="J244" s="24"/>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row>
    <row r="245" spans="2:46" x14ac:dyDescent="0.3">
      <c r="B245" s="16"/>
      <c r="C245" s="16"/>
      <c r="D245" s="16"/>
      <c r="E245" s="16"/>
      <c r="F245" s="24"/>
      <c r="G245" s="24"/>
      <c r="H245" s="24"/>
      <c r="I245" s="24"/>
      <c r="J245" s="24"/>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row>
    <row r="246" spans="2:46" x14ac:dyDescent="0.3">
      <c r="E246" s="16"/>
      <c r="F246" s="24"/>
      <c r="G246" s="24"/>
      <c r="H246" s="24"/>
      <c r="I246" s="24"/>
      <c r="J246" s="24"/>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row>
    <row r="247" spans="2:46" x14ac:dyDescent="0.3">
      <c r="F247" s="24"/>
      <c r="G247" s="24"/>
      <c r="H247" s="24"/>
      <c r="I247" s="24"/>
      <c r="J247" s="24"/>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row>
    <row r="248" spans="2:46" x14ac:dyDescent="0.3">
      <c r="F248" s="25"/>
      <c r="G248" s="25"/>
      <c r="H248" s="25"/>
      <c r="I248" s="25"/>
      <c r="J248" s="24"/>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row>
    <row r="249" spans="2:46" x14ac:dyDescent="0.3">
      <c r="F249" s="25"/>
      <c r="G249" s="25"/>
      <c r="H249" s="25"/>
      <c r="I249" s="25"/>
      <c r="J249" s="24"/>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row>
    <row r="250" spans="2:46" x14ac:dyDescent="0.3">
      <c r="F250" s="25"/>
      <c r="G250" s="25"/>
      <c r="H250" s="25"/>
      <c r="I250" s="25"/>
      <c r="J250" s="24"/>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row>
    <row r="251" spans="2:46" x14ac:dyDescent="0.3">
      <c r="F251" s="25"/>
      <c r="G251" s="25"/>
      <c r="H251" s="25"/>
      <c r="I251" s="25"/>
      <c r="J251" s="24"/>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row>
    <row r="252" spans="2:46" x14ac:dyDescent="0.3">
      <c r="F252" s="25"/>
      <c r="G252" s="25"/>
      <c r="H252" s="25"/>
      <c r="I252" s="25"/>
      <c r="J252" s="24"/>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row>
    <row r="253" spans="2:46" x14ac:dyDescent="0.3">
      <c r="F253" s="25"/>
      <c r="G253" s="25"/>
      <c r="H253" s="25"/>
      <c r="I253" s="25"/>
      <c r="J253" s="24"/>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row>
    <row r="254" spans="2:46" x14ac:dyDescent="0.3">
      <c r="F254" s="25"/>
      <c r="G254" s="25"/>
      <c r="H254" s="25"/>
      <c r="I254" s="25"/>
      <c r="J254" s="24"/>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row>
    <row r="255" spans="2:46" x14ac:dyDescent="0.3">
      <c r="F255" s="25"/>
      <c r="G255" s="25"/>
      <c r="H255" s="25"/>
      <c r="I255" s="25"/>
      <c r="J255" s="24"/>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row>
    <row r="256" spans="2:46" x14ac:dyDescent="0.3">
      <c r="F256" s="25"/>
      <c r="G256" s="25"/>
      <c r="H256" s="25"/>
      <c r="I256" s="25"/>
      <c r="J256" s="24"/>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row>
    <row r="257" spans="6:46" x14ac:dyDescent="0.3">
      <c r="F257" s="25"/>
      <c r="G257" s="25"/>
      <c r="H257" s="25"/>
      <c r="I257" s="25"/>
      <c r="J257" s="24"/>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row>
    <row r="258" spans="6:46" x14ac:dyDescent="0.3">
      <c r="F258" s="25"/>
      <c r="G258" s="25"/>
      <c r="H258" s="25"/>
      <c r="I258" s="25"/>
      <c r="J258" s="24"/>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row>
    <row r="259" spans="6:46" x14ac:dyDescent="0.3">
      <c r="F259" s="25"/>
      <c r="G259" s="25"/>
      <c r="H259" s="25"/>
      <c r="I259" s="25"/>
      <c r="J259" s="24"/>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row>
    <row r="260" spans="6:46" x14ac:dyDescent="0.3">
      <c r="F260" s="25"/>
      <c r="G260" s="25"/>
      <c r="H260" s="25"/>
      <c r="I260" s="25"/>
      <c r="J260" s="24"/>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row>
    <row r="261" spans="6:46" x14ac:dyDescent="0.3">
      <c r="F261" s="25"/>
      <c r="G261" s="25"/>
      <c r="H261" s="25"/>
      <c r="I261" s="25"/>
      <c r="J261" s="24"/>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row>
    <row r="262" spans="6:46" x14ac:dyDescent="0.3">
      <c r="F262" s="25"/>
      <c r="G262" s="25"/>
      <c r="H262" s="25"/>
      <c r="I262" s="25"/>
      <c r="J262" s="24"/>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row>
    <row r="263" spans="6:46" x14ac:dyDescent="0.3">
      <c r="F263" s="25"/>
      <c r="G263" s="25"/>
      <c r="H263" s="25"/>
      <c r="I263" s="25"/>
      <c r="J263" s="24"/>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row>
    <row r="264" spans="6:46" x14ac:dyDescent="0.3">
      <c r="F264" s="25"/>
      <c r="G264" s="25"/>
      <c r="H264" s="25"/>
      <c r="I264" s="25"/>
      <c r="J264" s="24"/>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row>
    <row r="265" spans="6:46" x14ac:dyDescent="0.3">
      <c r="F265" s="25"/>
      <c r="G265" s="25"/>
      <c r="H265" s="25"/>
      <c r="I265" s="25"/>
      <c r="J265" s="24"/>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row>
    <row r="266" spans="6:46" x14ac:dyDescent="0.3">
      <c r="F266" s="25"/>
      <c r="G266" s="25"/>
      <c r="H266" s="25"/>
      <c r="I266" s="25"/>
      <c r="J266" s="24"/>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row>
    <row r="267" spans="6:46" x14ac:dyDescent="0.3">
      <c r="F267" s="25"/>
      <c r="G267" s="25"/>
      <c r="H267" s="25"/>
      <c r="I267" s="25"/>
      <c r="J267" s="24"/>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row>
    <row r="268" spans="6:46" x14ac:dyDescent="0.3">
      <c r="F268" s="25"/>
      <c r="G268" s="25"/>
      <c r="H268" s="25"/>
      <c r="I268" s="25"/>
      <c r="J268" s="24"/>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row>
    <row r="269" spans="6:46" x14ac:dyDescent="0.3">
      <c r="F269" s="25"/>
      <c r="G269" s="25"/>
      <c r="H269" s="25"/>
      <c r="I269" s="25"/>
      <c r="J269" s="24"/>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row>
    <row r="270" spans="6:46" x14ac:dyDescent="0.3">
      <c r="F270" s="25"/>
      <c r="G270" s="25"/>
      <c r="H270" s="25"/>
      <c r="I270" s="25"/>
      <c r="J270" s="24"/>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row>
    <row r="271" spans="6:46" x14ac:dyDescent="0.3">
      <c r="F271" s="25"/>
      <c r="G271" s="25"/>
      <c r="H271" s="25"/>
      <c r="I271" s="25"/>
      <c r="J271" s="24"/>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row>
    <row r="272" spans="6:46" x14ac:dyDescent="0.3">
      <c r="F272" s="25"/>
      <c r="G272" s="25"/>
      <c r="H272" s="25"/>
      <c r="I272" s="25"/>
      <c r="J272" s="24"/>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row>
    <row r="273" spans="6:46" x14ac:dyDescent="0.3">
      <c r="F273" s="25"/>
      <c r="G273" s="25"/>
      <c r="H273" s="25"/>
      <c r="I273" s="25"/>
      <c r="J273" s="24"/>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row>
    <row r="274" spans="6:46" x14ac:dyDescent="0.3">
      <c r="F274" s="25"/>
      <c r="G274" s="25"/>
      <c r="H274" s="25"/>
      <c r="I274" s="25"/>
      <c r="J274" s="24"/>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row>
    <row r="275" spans="6:46" x14ac:dyDescent="0.3">
      <c r="F275" s="25"/>
      <c r="G275" s="25"/>
      <c r="H275" s="25"/>
      <c r="I275" s="25"/>
      <c r="J275" s="24"/>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row>
    <row r="276" spans="6:46" x14ac:dyDescent="0.3">
      <c r="F276" s="25"/>
      <c r="G276" s="25"/>
      <c r="H276" s="25"/>
      <c r="I276" s="25"/>
      <c r="J276" s="24"/>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row>
    <row r="277" spans="6:46" x14ac:dyDescent="0.3">
      <c r="F277" s="25"/>
      <c r="G277" s="25"/>
      <c r="H277" s="25"/>
      <c r="I277" s="25"/>
      <c r="J277" s="24"/>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row>
    <row r="278" spans="6:46" x14ac:dyDescent="0.3">
      <c r="F278" s="25"/>
      <c r="G278" s="25"/>
      <c r="H278" s="25"/>
      <c r="I278" s="25"/>
      <c r="J278" s="24"/>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row>
    <row r="279" spans="6:46" x14ac:dyDescent="0.3">
      <c r="F279" s="25"/>
      <c r="G279" s="25"/>
      <c r="H279" s="25"/>
      <c r="I279" s="25"/>
      <c r="J279" s="24"/>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row>
    <row r="280" spans="6:46" x14ac:dyDescent="0.3">
      <c r="F280" s="25"/>
      <c r="G280" s="25"/>
      <c r="H280" s="25"/>
      <c r="I280" s="25"/>
      <c r="J280" s="24"/>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row>
    <row r="281" spans="6:46" x14ac:dyDescent="0.3">
      <c r="F281" s="25"/>
      <c r="G281" s="25"/>
      <c r="H281" s="25"/>
      <c r="I281" s="25"/>
      <c r="J281" s="24"/>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row>
    <row r="282" spans="6:46" x14ac:dyDescent="0.3">
      <c r="F282" s="25"/>
      <c r="G282" s="25"/>
      <c r="H282" s="25"/>
      <c r="I282" s="25"/>
      <c r="J282" s="24"/>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row>
    <row r="283" spans="6:46" x14ac:dyDescent="0.3">
      <c r="F283" s="25"/>
      <c r="G283" s="25"/>
      <c r="H283" s="25"/>
      <c r="I283" s="25"/>
      <c r="J283" s="24"/>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row>
    <row r="284" spans="6:46" x14ac:dyDescent="0.3">
      <c r="F284" s="25"/>
      <c r="G284" s="25"/>
      <c r="H284" s="25"/>
      <c r="I284" s="25"/>
      <c r="J284" s="24"/>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row>
    <row r="285" spans="6:46" x14ac:dyDescent="0.3">
      <c r="F285" s="25"/>
      <c r="G285" s="25"/>
      <c r="H285" s="25"/>
      <c r="I285" s="25"/>
      <c r="J285" s="24"/>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row>
    <row r="286" spans="6:46" x14ac:dyDescent="0.3">
      <c r="F286" s="25"/>
      <c r="G286" s="25"/>
      <c r="H286" s="25"/>
      <c r="I286" s="25"/>
      <c r="J286" s="24"/>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row>
    <row r="287" spans="6:46" x14ac:dyDescent="0.3">
      <c r="F287" s="25"/>
      <c r="G287" s="25"/>
      <c r="H287" s="25"/>
      <c r="I287" s="25"/>
      <c r="J287" s="24"/>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row>
    <row r="288" spans="6:46" x14ac:dyDescent="0.3">
      <c r="F288" s="25"/>
      <c r="G288" s="25"/>
      <c r="H288" s="25"/>
      <c r="I288" s="25"/>
      <c r="J288" s="24"/>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row>
    <row r="289" spans="6:46" x14ac:dyDescent="0.3">
      <c r="F289" s="25"/>
      <c r="G289" s="25"/>
      <c r="H289" s="25"/>
      <c r="I289" s="25"/>
      <c r="J289" s="24"/>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row>
    <row r="290" spans="6:46" x14ac:dyDescent="0.3">
      <c r="F290" s="25"/>
      <c r="G290" s="25"/>
      <c r="H290" s="25"/>
      <c r="I290" s="25"/>
      <c r="J290" s="24"/>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row>
    <row r="291" spans="6:46" x14ac:dyDescent="0.3">
      <c r="F291" s="25"/>
      <c r="G291" s="25"/>
      <c r="H291" s="25"/>
      <c r="I291" s="25"/>
      <c r="J291" s="24"/>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row>
    <row r="292" spans="6:46" x14ac:dyDescent="0.3">
      <c r="F292" s="25"/>
      <c r="G292" s="25"/>
      <c r="H292" s="25"/>
      <c r="I292" s="25"/>
      <c r="J292" s="24"/>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row>
    <row r="293" spans="6:46" x14ac:dyDescent="0.3">
      <c r="F293" s="25"/>
      <c r="G293" s="25"/>
      <c r="H293" s="25"/>
      <c r="I293" s="25"/>
      <c r="J293" s="24"/>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row>
    <row r="294" spans="6:46" x14ac:dyDescent="0.3">
      <c r="F294" s="25"/>
      <c r="G294" s="25"/>
      <c r="H294" s="25"/>
      <c r="I294" s="25"/>
      <c r="J294" s="24"/>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row>
    <row r="295" spans="6:46" x14ac:dyDescent="0.3">
      <c r="F295" s="25"/>
      <c r="G295" s="25"/>
      <c r="H295" s="25"/>
      <c r="I295" s="25"/>
      <c r="J295" s="24"/>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row>
    <row r="296" spans="6:46" x14ac:dyDescent="0.3">
      <c r="F296" s="25"/>
      <c r="G296" s="25"/>
      <c r="H296" s="25"/>
      <c r="I296" s="25"/>
      <c r="J296" s="24"/>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row>
    <row r="297" spans="6:46" x14ac:dyDescent="0.3">
      <c r="F297" s="25"/>
      <c r="G297" s="25"/>
      <c r="H297" s="25"/>
      <c r="I297" s="25"/>
      <c r="J297" s="24"/>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row>
    <row r="298" spans="6:46" x14ac:dyDescent="0.3">
      <c r="F298" s="25"/>
      <c r="G298" s="25"/>
      <c r="H298" s="25"/>
      <c r="I298" s="25"/>
      <c r="J298" s="24"/>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row>
    <row r="299" spans="6:46" x14ac:dyDescent="0.3">
      <c r="F299" s="25"/>
      <c r="G299" s="25"/>
      <c r="H299" s="25"/>
      <c r="I299" s="25"/>
      <c r="J299" s="24"/>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row>
    <row r="300" spans="6:46" x14ac:dyDescent="0.3">
      <c r="F300" s="25"/>
      <c r="G300" s="25"/>
      <c r="H300" s="25"/>
      <c r="I300" s="25"/>
      <c r="J300" s="24"/>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row>
    <row r="301" spans="6:46" x14ac:dyDescent="0.3">
      <c r="F301" s="25"/>
      <c r="G301" s="25"/>
      <c r="H301" s="25"/>
      <c r="I301" s="25"/>
      <c r="J301" s="24"/>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row>
    <row r="302" spans="6:46" x14ac:dyDescent="0.3">
      <c r="F302" s="25"/>
      <c r="G302" s="25"/>
      <c r="H302" s="25"/>
      <c r="I302" s="25"/>
      <c r="J302" s="24"/>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row>
    <row r="303" spans="6:46" x14ac:dyDescent="0.3">
      <c r="F303" s="25"/>
      <c r="G303" s="25"/>
      <c r="H303" s="25"/>
      <c r="I303" s="25"/>
      <c r="J303" s="24"/>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row>
    <row r="304" spans="6:46" x14ac:dyDescent="0.3">
      <c r="F304" s="25"/>
      <c r="G304" s="25"/>
      <c r="H304" s="25"/>
      <c r="I304" s="25"/>
      <c r="J304" s="24"/>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row>
    <row r="305" spans="6:46" x14ac:dyDescent="0.3">
      <c r="F305" s="25"/>
      <c r="G305" s="25"/>
      <c r="H305" s="25"/>
      <c r="I305" s="25"/>
      <c r="J305" s="24"/>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row>
    <row r="306" spans="6:46" x14ac:dyDescent="0.3">
      <c r="F306" s="25"/>
      <c r="G306" s="25"/>
      <c r="H306" s="25"/>
      <c r="I306" s="25"/>
      <c r="J306" s="24"/>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row>
    <row r="307" spans="6:46" x14ac:dyDescent="0.3">
      <c r="F307" s="25"/>
      <c r="G307" s="25"/>
      <c r="H307" s="25"/>
      <c r="I307" s="25"/>
      <c r="J307" s="24"/>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row>
    <row r="308" spans="6:46" x14ac:dyDescent="0.3">
      <c r="F308" s="25"/>
      <c r="G308" s="25"/>
      <c r="H308" s="25"/>
      <c r="I308" s="25"/>
      <c r="J308" s="2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row>
    <row r="309" spans="6:46" x14ac:dyDescent="0.3">
      <c r="F309" s="25"/>
      <c r="G309" s="25"/>
      <c r="H309" s="25"/>
      <c r="I309" s="25"/>
      <c r="J309" s="2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row>
    <row r="310" spans="6:46" x14ac:dyDescent="0.3">
      <c r="F310" s="25"/>
      <c r="G310" s="25"/>
      <c r="H310" s="25"/>
      <c r="I310" s="25"/>
      <c r="J310" s="2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row>
    <row r="311" spans="6:46" x14ac:dyDescent="0.3">
      <c r="F311" s="25"/>
      <c r="G311" s="25"/>
      <c r="H311" s="25"/>
      <c r="I311" s="25"/>
      <c r="J311" s="2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row>
    <row r="312" spans="6:46" x14ac:dyDescent="0.3">
      <c r="F312" s="25"/>
      <c r="G312" s="25"/>
      <c r="H312" s="25"/>
      <c r="I312" s="25"/>
      <c r="J312" s="2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row>
    <row r="313" spans="6:46" x14ac:dyDescent="0.3">
      <c r="F313" s="25"/>
      <c r="G313" s="25"/>
      <c r="H313" s="25"/>
      <c r="I313" s="25"/>
      <c r="J313" s="2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row>
    <row r="314" spans="6:46" x14ac:dyDescent="0.3">
      <c r="F314" s="25"/>
      <c r="G314" s="25"/>
      <c r="H314" s="25"/>
      <c r="I314" s="25"/>
      <c r="J314" s="2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row>
    <row r="315" spans="6:46" x14ac:dyDescent="0.3">
      <c r="F315" s="25"/>
      <c r="G315" s="25"/>
      <c r="H315" s="25"/>
      <c r="I315" s="25"/>
      <c r="J315" s="2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row>
    <row r="316" spans="6:46" x14ac:dyDescent="0.3">
      <c r="F316" s="25"/>
      <c r="G316" s="25"/>
      <c r="H316" s="25"/>
      <c r="I316" s="25"/>
      <c r="J316" s="2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row>
    <row r="317" spans="6:46" x14ac:dyDescent="0.3">
      <c r="F317" s="25"/>
      <c r="G317" s="25"/>
      <c r="H317" s="25"/>
      <c r="I317" s="25"/>
      <c r="J317" s="2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row>
    <row r="318" spans="6:46" x14ac:dyDescent="0.3">
      <c r="F318" s="25"/>
      <c r="G318" s="25"/>
      <c r="H318" s="25"/>
      <c r="I318" s="25"/>
      <c r="J318" s="2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row>
    <row r="319" spans="6:46" x14ac:dyDescent="0.3">
      <c r="F319" s="25"/>
      <c r="G319" s="25"/>
      <c r="H319" s="25"/>
      <c r="I319" s="25"/>
      <c r="J319" s="2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row>
    <row r="320" spans="6:46" x14ac:dyDescent="0.3">
      <c r="F320" s="25"/>
      <c r="G320" s="25"/>
      <c r="H320" s="25"/>
      <c r="I320" s="25"/>
      <c r="J320" s="2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row>
    <row r="321" spans="6:46" x14ac:dyDescent="0.3">
      <c r="F321" s="25"/>
      <c r="G321" s="25"/>
      <c r="H321" s="25"/>
      <c r="I321" s="25"/>
      <c r="J321" s="2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row>
    <row r="322" spans="6:46" x14ac:dyDescent="0.3">
      <c r="F322" s="25"/>
      <c r="G322" s="25"/>
      <c r="H322" s="25"/>
      <c r="I322" s="25"/>
      <c r="J322" s="2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row>
    <row r="323" spans="6:46" x14ac:dyDescent="0.3">
      <c r="F323" s="25"/>
      <c r="G323" s="25"/>
      <c r="H323" s="25"/>
      <c r="I323" s="25"/>
      <c r="J323" s="2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row>
    <row r="324" spans="6:46" x14ac:dyDescent="0.3">
      <c r="F324" s="25"/>
      <c r="G324" s="25"/>
      <c r="H324" s="25"/>
      <c r="I324" s="25"/>
      <c r="J324" s="2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row>
    <row r="325" spans="6:46" x14ac:dyDescent="0.3">
      <c r="F325" s="25"/>
      <c r="G325" s="25"/>
      <c r="H325" s="25"/>
      <c r="I325" s="25"/>
      <c r="J325" s="2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row>
    <row r="326" spans="6:46" x14ac:dyDescent="0.3">
      <c r="F326" s="25"/>
      <c r="G326" s="25"/>
      <c r="H326" s="25"/>
      <c r="I326" s="25"/>
      <c r="J326" s="2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row>
    <row r="327" spans="6:46" x14ac:dyDescent="0.3">
      <c r="F327" s="25"/>
      <c r="G327" s="25"/>
      <c r="H327" s="25"/>
      <c r="I327" s="25"/>
      <c r="J327" s="2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row>
    <row r="328" spans="6:46" x14ac:dyDescent="0.3">
      <c r="F328" s="25"/>
      <c r="G328" s="25"/>
      <c r="H328" s="25"/>
      <c r="I328" s="25"/>
      <c r="J328" s="2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row>
    <row r="329" spans="6:46" x14ac:dyDescent="0.3">
      <c r="F329" s="25"/>
      <c r="G329" s="25"/>
      <c r="H329" s="25"/>
      <c r="I329" s="25"/>
      <c r="J329" s="2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row>
    <row r="330" spans="6:46" x14ac:dyDescent="0.3">
      <c r="F330" s="25"/>
      <c r="G330" s="25"/>
      <c r="H330" s="25"/>
      <c r="I330" s="25"/>
      <c r="J330" s="2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row>
    <row r="331" spans="6:46" x14ac:dyDescent="0.3">
      <c r="F331" s="25"/>
      <c r="G331" s="25"/>
      <c r="H331" s="25"/>
      <c r="I331" s="25"/>
      <c r="J331" s="2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row>
    <row r="332" spans="6:46" x14ac:dyDescent="0.3">
      <c r="F332" s="25"/>
      <c r="G332" s="25"/>
      <c r="H332" s="25"/>
      <c r="I332" s="25"/>
      <c r="J332" s="2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row>
    <row r="333" spans="6:46" x14ac:dyDescent="0.3">
      <c r="F333" s="25"/>
      <c r="G333" s="25"/>
      <c r="H333" s="25"/>
      <c r="I333" s="25"/>
      <c r="J333" s="2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row>
    <row r="334" spans="6:46" x14ac:dyDescent="0.3">
      <c r="F334" s="25"/>
      <c r="G334" s="25"/>
      <c r="H334" s="25"/>
      <c r="I334" s="25"/>
      <c r="J334" s="2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row>
    <row r="335" spans="6:46" x14ac:dyDescent="0.3">
      <c r="F335" s="25"/>
      <c r="G335" s="25"/>
      <c r="H335" s="25"/>
      <c r="I335" s="25"/>
      <c r="J335" s="2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row>
    <row r="336" spans="6:46" x14ac:dyDescent="0.3">
      <c r="F336" s="25"/>
      <c r="G336" s="25"/>
      <c r="H336" s="25"/>
      <c r="I336" s="25"/>
      <c r="J336" s="2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row>
    <row r="337" spans="6:46" x14ac:dyDescent="0.3">
      <c r="F337" s="25"/>
      <c r="G337" s="25"/>
      <c r="H337" s="25"/>
      <c r="I337" s="25"/>
      <c r="J337" s="2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row>
    <row r="338" spans="6:46" x14ac:dyDescent="0.3">
      <c r="F338" s="25"/>
      <c r="G338" s="25"/>
      <c r="H338" s="25"/>
      <c r="I338" s="25"/>
      <c r="J338" s="2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row>
    <row r="339" spans="6:46" x14ac:dyDescent="0.3">
      <c r="F339" s="25"/>
      <c r="G339" s="25"/>
      <c r="H339" s="25"/>
      <c r="I339" s="25"/>
      <c r="J339" s="2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row>
    <row r="340" spans="6:46" x14ac:dyDescent="0.3">
      <c r="F340" s="25"/>
      <c r="G340" s="25"/>
      <c r="H340" s="25"/>
      <c r="I340" s="25"/>
      <c r="J340" s="2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row>
    <row r="341" spans="6:46" x14ac:dyDescent="0.3">
      <c r="F341" s="25"/>
      <c r="G341" s="25"/>
      <c r="H341" s="25"/>
      <c r="I341" s="25"/>
      <c r="J341" s="2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row>
    <row r="342" spans="6:46" x14ac:dyDescent="0.3">
      <c r="F342" s="25"/>
      <c r="G342" s="25"/>
      <c r="H342" s="25"/>
      <c r="I342" s="25"/>
      <c r="J342" s="2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row>
    <row r="343" spans="6:46" x14ac:dyDescent="0.3">
      <c r="F343" s="25"/>
      <c r="G343" s="25"/>
      <c r="H343" s="25"/>
      <c r="I343" s="25"/>
      <c r="J343" s="2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row>
    <row r="344" spans="6:46" x14ac:dyDescent="0.3">
      <c r="F344" s="25"/>
      <c r="G344" s="25"/>
      <c r="H344" s="25"/>
      <c r="I344" s="25"/>
      <c r="J344" s="2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row>
    <row r="345" spans="6:46" x14ac:dyDescent="0.3">
      <c r="F345" s="25"/>
      <c r="G345" s="25"/>
      <c r="H345" s="25"/>
      <c r="I345" s="25"/>
      <c r="J345" s="2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row>
    <row r="346" spans="6:46" x14ac:dyDescent="0.3">
      <c r="F346" s="25"/>
      <c r="G346" s="25"/>
      <c r="H346" s="25"/>
      <c r="I346" s="25"/>
      <c r="J346" s="2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row>
    <row r="347" spans="6:46" x14ac:dyDescent="0.3">
      <c r="F347" s="25"/>
      <c r="G347" s="25"/>
      <c r="H347" s="25"/>
      <c r="I347" s="25"/>
      <c r="J347" s="2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row>
    <row r="348" spans="6:46" x14ac:dyDescent="0.3">
      <c r="F348" s="25"/>
      <c r="G348" s="25"/>
      <c r="H348" s="25"/>
      <c r="I348" s="25"/>
      <c r="J348" s="2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row>
    <row r="349" spans="6:46" x14ac:dyDescent="0.3">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row>
    <row r="350" spans="6:46" x14ac:dyDescent="0.3">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row>
    <row r="351" spans="6:46" x14ac:dyDescent="0.3">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row>
    <row r="352" spans="6:46" x14ac:dyDescent="0.3">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row>
    <row r="353" spans="16:46" x14ac:dyDescent="0.3">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row>
    <row r="354" spans="16:46" x14ac:dyDescent="0.3">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row>
    <row r="355" spans="16:46" x14ac:dyDescent="0.3">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row>
    <row r="356" spans="16:46" x14ac:dyDescent="0.3">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row>
    <row r="357" spans="16:46" x14ac:dyDescent="0.3">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row>
    <row r="358" spans="16:46" x14ac:dyDescent="0.3">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row>
  </sheetData>
  <mergeCells count="3">
    <mergeCell ref="L6:Q6"/>
    <mergeCell ref="C8:D8"/>
    <mergeCell ref="F6:J6"/>
  </mergeCells>
  <dataValidations disablePrompts="1" count="1">
    <dataValidation type="list" allowBlank="1" showInputMessage="1" showErrorMessage="1" sqref="D6" xr:uid="{00000000-0002-0000-03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showGridLines="0" zoomScale="90" zoomScaleNormal="90" workbookViewId="0">
      <selection activeCell="O38" sqref="O38"/>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Q39"/>
  <sheetViews>
    <sheetView showGridLines="0" tabSelected="1" topLeftCell="A13" zoomScale="110" zoomScaleNormal="110" workbookViewId="0">
      <selection activeCell="G31" sqref="G31"/>
    </sheetView>
  </sheetViews>
  <sheetFormatPr defaultRowHeight="12.5" x14ac:dyDescent="0.25"/>
  <cols>
    <col min="1" max="1" width="8.69921875" style="2" customWidth="1"/>
    <col min="2" max="2" width="10" style="2" customWidth="1"/>
    <col min="3" max="3" width="19.69921875" style="2" customWidth="1"/>
    <col min="4" max="4" width="17.69921875" style="2" customWidth="1"/>
    <col min="5" max="5" width="19.8984375" style="2" customWidth="1"/>
    <col min="6" max="7" width="17.09765625" style="2" customWidth="1"/>
    <col min="8" max="11" width="9.09765625" style="2"/>
    <col min="12" max="12" width="16.09765625" style="2" customWidth="1"/>
    <col min="13" max="256" width="9.09765625" style="2"/>
    <col min="257" max="257" width="8.69921875" style="2" customWidth="1"/>
    <col min="258" max="259" width="9.09765625" style="2"/>
    <col min="260" max="260" width="12.296875" style="2" bestFit="1" customWidth="1"/>
    <col min="261" max="261" width="11.09765625" style="2" bestFit="1" customWidth="1"/>
    <col min="262" max="512" width="9.09765625" style="2"/>
    <col min="513" max="513" width="8.69921875" style="2" customWidth="1"/>
    <col min="514" max="515" width="9.09765625" style="2"/>
    <col min="516" max="516" width="12.296875" style="2" bestFit="1" customWidth="1"/>
    <col min="517" max="517" width="11.09765625" style="2" bestFit="1" customWidth="1"/>
    <col min="518" max="768" width="9.09765625" style="2"/>
    <col min="769" max="769" width="8.69921875" style="2" customWidth="1"/>
    <col min="770" max="771" width="9.09765625" style="2"/>
    <col min="772" max="772" width="12.296875" style="2" bestFit="1" customWidth="1"/>
    <col min="773" max="773" width="11.09765625" style="2" bestFit="1" customWidth="1"/>
    <col min="774" max="1024" width="9.09765625" style="2"/>
    <col min="1025" max="1025" width="8.69921875" style="2" customWidth="1"/>
    <col min="1026" max="1027" width="9.09765625" style="2"/>
    <col min="1028" max="1028" width="12.296875" style="2" bestFit="1" customWidth="1"/>
    <col min="1029" max="1029" width="11.09765625" style="2" bestFit="1" customWidth="1"/>
    <col min="1030" max="1280" width="9.09765625" style="2"/>
    <col min="1281" max="1281" width="8.69921875" style="2" customWidth="1"/>
    <col min="1282" max="1283" width="9.09765625" style="2"/>
    <col min="1284" max="1284" width="12.296875" style="2" bestFit="1" customWidth="1"/>
    <col min="1285" max="1285" width="11.09765625" style="2" bestFit="1" customWidth="1"/>
    <col min="1286" max="1536" width="9.09765625" style="2"/>
    <col min="1537" max="1537" width="8.69921875" style="2" customWidth="1"/>
    <col min="1538" max="1539" width="9.09765625" style="2"/>
    <col min="1540" max="1540" width="12.296875" style="2" bestFit="1" customWidth="1"/>
    <col min="1541" max="1541" width="11.09765625" style="2" bestFit="1" customWidth="1"/>
    <col min="1542" max="1792" width="9.09765625" style="2"/>
    <col min="1793" max="1793" width="8.69921875" style="2" customWidth="1"/>
    <col min="1794" max="1795" width="9.09765625" style="2"/>
    <col min="1796" max="1796" width="12.296875" style="2" bestFit="1" customWidth="1"/>
    <col min="1797" max="1797" width="11.09765625" style="2" bestFit="1" customWidth="1"/>
    <col min="1798" max="2048" width="9.09765625" style="2"/>
    <col min="2049" max="2049" width="8.69921875" style="2" customWidth="1"/>
    <col min="2050" max="2051" width="9.09765625" style="2"/>
    <col min="2052" max="2052" width="12.296875" style="2" bestFit="1" customWidth="1"/>
    <col min="2053" max="2053" width="11.09765625" style="2" bestFit="1" customWidth="1"/>
    <col min="2054" max="2304" width="9.09765625" style="2"/>
    <col min="2305" max="2305" width="8.69921875" style="2" customWidth="1"/>
    <col min="2306" max="2307" width="9.09765625" style="2"/>
    <col min="2308" max="2308" width="12.296875" style="2" bestFit="1" customWidth="1"/>
    <col min="2309" max="2309" width="11.09765625" style="2" bestFit="1" customWidth="1"/>
    <col min="2310" max="2560" width="9.09765625" style="2"/>
    <col min="2561" max="2561" width="8.69921875" style="2" customWidth="1"/>
    <col min="2562" max="2563" width="9.09765625" style="2"/>
    <col min="2564" max="2564" width="12.296875" style="2" bestFit="1" customWidth="1"/>
    <col min="2565" max="2565" width="11.09765625" style="2" bestFit="1" customWidth="1"/>
    <col min="2566" max="2816" width="9.09765625" style="2"/>
    <col min="2817" max="2817" width="8.69921875" style="2" customWidth="1"/>
    <col min="2818" max="2819" width="9.09765625" style="2"/>
    <col min="2820" max="2820" width="12.296875" style="2" bestFit="1" customWidth="1"/>
    <col min="2821" max="2821" width="11.09765625" style="2" bestFit="1" customWidth="1"/>
    <col min="2822" max="3072" width="9.09765625" style="2"/>
    <col min="3073" max="3073" width="8.69921875" style="2" customWidth="1"/>
    <col min="3074" max="3075" width="9.09765625" style="2"/>
    <col min="3076" max="3076" width="12.296875" style="2" bestFit="1" customWidth="1"/>
    <col min="3077" max="3077" width="11.09765625" style="2" bestFit="1" customWidth="1"/>
    <col min="3078" max="3328" width="9.09765625" style="2"/>
    <col min="3329" max="3329" width="8.69921875" style="2" customWidth="1"/>
    <col min="3330" max="3331" width="9.09765625" style="2"/>
    <col min="3332" max="3332" width="12.296875" style="2" bestFit="1" customWidth="1"/>
    <col min="3333" max="3333" width="11.09765625" style="2" bestFit="1" customWidth="1"/>
    <col min="3334" max="3584" width="9.09765625" style="2"/>
    <col min="3585" max="3585" width="8.69921875" style="2" customWidth="1"/>
    <col min="3586" max="3587" width="9.09765625" style="2"/>
    <col min="3588" max="3588" width="12.296875" style="2" bestFit="1" customWidth="1"/>
    <col min="3589" max="3589" width="11.09765625" style="2" bestFit="1" customWidth="1"/>
    <col min="3590" max="3840" width="9.09765625" style="2"/>
    <col min="3841" max="3841" width="8.69921875" style="2" customWidth="1"/>
    <col min="3842" max="3843" width="9.09765625" style="2"/>
    <col min="3844" max="3844" width="12.296875" style="2" bestFit="1" customWidth="1"/>
    <col min="3845" max="3845" width="11.09765625" style="2" bestFit="1" customWidth="1"/>
    <col min="3846" max="4096" width="9.09765625" style="2"/>
    <col min="4097" max="4097" width="8.69921875" style="2" customWidth="1"/>
    <col min="4098" max="4099" width="9.09765625" style="2"/>
    <col min="4100" max="4100" width="12.296875" style="2" bestFit="1" customWidth="1"/>
    <col min="4101" max="4101" width="11.09765625" style="2" bestFit="1" customWidth="1"/>
    <col min="4102" max="4352" width="9.09765625" style="2"/>
    <col min="4353" max="4353" width="8.69921875" style="2" customWidth="1"/>
    <col min="4354" max="4355" width="9.09765625" style="2"/>
    <col min="4356" max="4356" width="12.296875" style="2" bestFit="1" customWidth="1"/>
    <col min="4357" max="4357" width="11.09765625" style="2" bestFit="1" customWidth="1"/>
    <col min="4358" max="4608" width="9.09765625" style="2"/>
    <col min="4609" max="4609" width="8.69921875" style="2" customWidth="1"/>
    <col min="4610" max="4611" width="9.09765625" style="2"/>
    <col min="4612" max="4612" width="12.296875" style="2" bestFit="1" customWidth="1"/>
    <col min="4613" max="4613" width="11.09765625" style="2" bestFit="1" customWidth="1"/>
    <col min="4614" max="4864" width="9.09765625" style="2"/>
    <col min="4865" max="4865" width="8.69921875" style="2" customWidth="1"/>
    <col min="4866" max="4867" width="9.09765625" style="2"/>
    <col min="4868" max="4868" width="12.296875" style="2" bestFit="1" customWidth="1"/>
    <col min="4869" max="4869" width="11.09765625" style="2" bestFit="1" customWidth="1"/>
    <col min="4870" max="5120" width="9.09765625" style="2"/>
    <col min="5121" max="5121" width="8.69921875" style="2" customWidth="1"/>
    <col min="5122" max="5123" width="9.09765625" style="2"/>
    <col min="5124" max="5124" width="12.296875" style="2" bestFit="1" customWidth="1"/>
    <col min="5125" max="5125" width="11.09765625" style="2" bestFit="1" customWidth="1"/>
    <col min="5126" max="5376" width="9.09765625" style="2"/>
    <col min="5377" max="5377" width="8.69921875" style="2" customWidth="1"/>
    <col min="5378" max="5379" width="9.09765625" style="2"/>
    <col min="5380" max="5380" width="12.296875" style="2" bestFit="1" customWidth="1"/>
    <col min="5381" max="5381" width="11.09765625" style="2" bestFit="1" customWidth="1"/>
    <col min="5382" max="5632" width="9.09765625" style="2"/>
    <col min="5633" max="5633" width="8.69921875" style="2" customWidth="1"/>
    <col min="5634" max="5635" width="9.09765625" style="2"/>
    <col min="5636" max="5636" width="12.296875" style="2" bestFit="1" customWidth="1"/>
    <col min="5637" max="5637" width="11.09765625" style="2" bestFit="1" customWidth="1"/>
    <col min="5638" max="5888" width="9.09765625" style="2"/>
    <col min="5889" max="5889" width="8.69921875" style="2" customWidth="1"/>
    <col min="5890" max="5891" width="9.09765625" style="2"/>
    <col min="5892" max="5892" width="12.296875" style="2" bestFit="1" customWidth="1"/>
    <col min="5893" max="5893" width="11.09765625" style="2" bestFit="1" customWidth="1"/>
    <col min="5894" max="6144" width="9.09765625" style="2"/>
    <col min="6145" max="6145" width="8.69921875" style="2" customWidth="1"/>
    <col min="6146" max="6147" width="9.09765625" style="2"/>
    <col min="6148" max="6148" width="12.296875" style="2" bestFit="1" customWidth="1"/>
    <col min="6149" max="6149" width="11.09765625" style="2" bestFit="1" customWidth="1"/>
    <col min="6150" max="6400" width="9.09765625" style="2"/>
    <col min="6401" max="6401" width="8.69921875" style="2" customWidth="1"/>
    <col min="6402" max="6403" width="9.09765625" style="2"/>
    <col min="6404" max="6404" width="12.296875" style="2" bestFit="1" customWidth="1"/>
    <col min="6405" max="6405" width="11.09765625" style="2" bestFit="1" customWidth="1"/>
    <col min="6406" max="6656" width="9.09765625" style="2"/>
    <col min="6657" max="6657" width="8.69921875" style="2" customWidth="1"/>
    <col min="6658" max="6659" width="9.09765625" style="2"/>
    <col min="6660" max="6660" width="12.296875" style="2" bestFit="1" customWidth="1"/>
    <col min="6661" max="6661" width="11.09765625" style="2" bestFit="1" customWidth="1"/>
    <col min="6662" max="6912" width="9.09765625" style="2"/>
    <col min="6913" max="6913" width="8.69921875" style="2" customWidth="1"/>
    <col min="6914" max="6915" width="9.09765625" style="2"/>
    <col min="6916" max="6916" width="12.296875" style="2" bestFit="1" customWidth="1"/>
    <col min="6917" max="6917" width="11.09765625" style="2" bestFit="1" customWidth="1"/>
    <col min="6918" max="7168" width="9.09765625" style="2"/>
    <col min="7169" max="7169" width="8.69921875" style="2" customWidth="1"/>
    <col min="7170" max="7171" width="9.09765625" style="2"/>
    <col min="7172" max="7172" width="12.296875" style="2" bestFit="1" customWidth="1"/>
    <col min="7173" max="7173" width="11.09765625" style="2" bestFit="1" customWidth="1"/>
    <col min="7174" max="7424" width="9.09765625" style="2"/>
    <col min="7425" max="7425" width="8.69921875" style="2" customWidth="1"/>
    <col min="7426" max="7427" width="9.09765625" style="2"/>
    <col min="7428" max="7428" width="12.296875" style="2" bestFit="1" customWidth="1"/>
    <col min="7429" max="7429" width="11.09765625" style="2" bestFit="1" customWidth="1"/>
    <col min="7430" max="7680" width="9.09765625" style="2"/>
    <col min="7681" max="7681" width="8.69921875" style="2" customWidth="1"/>
    <col min="7682" max="7683" width="9.09765625" style="2"/>
    <col min="7684" max="7684" width="12.296875" style="2" bestFit="1" customWidth="1"/>
    <col min="7685" max="7685" width="11.09765625" style="2" bestFit="1" customWidth="1"/>
    <col min="7686" max="7936" width="9.09765625" style="2"/>
    <col min="7937" max="7937" width="8.69921875" style="2" customWidth="1"/>
    <col min="7938" max="7939" width="9.09765625" style="2"/>
    <col min="7940" max="7940" width="12.296875" style="2" bestFit="1" customWidth="1"/>
    <col min="7941" max="7941" width="11.09765625" style="2" bestFit="1" customWidth="1"/>
    <col min="7942" max="8192" width="9.09765625" style="2"/>
    <col min="8193" max="8193" width="8.69921875" style="2" customWidth="1"/>
    <col min="8194" max="8195" width="9.09765625" style="2"/>
    <col min="8196" max="8196" width="12.296875" style="2" bestFit="1" customWidth="1"/>
    <col min="8197" max="8197" width="11.09765625" style="2" bestFit="1" customWidth="1"/>
    <col min="8198" max="8448" width="9.09765625" style="2"/>
    <col min="8449" max="8449" width="8.69921875" style="2" customWidth="1"/>
    <col min="8450" max="8451" width="9.09765625" style="2"/>
    <col min="8452" max="8452" width="12.296875" style="2" bestFit="1" customWidth="1"/>
    <col min="8453" max="8453" width="11.09765625" style="2" bestFit="1" customWidth="1"/>
    <col min="8454" max="8704" width="9.09765625" style="2"/>
    <col min="8705" max="8705" width="8.69921875" style="2" customWidth="1"/>
    <col min="8706" max="8707" width="9.09765625" style="2"/>
    <col min="8708" max="8708" width="12.296875" style="2" bestFit="1" customWidth="1"/>
    <col min="8709" max="8709" width="11.09765625" style="2" bestFit="1" customWidth="1"/>
    <col min="8710" max="8960" width="9.09765625" style="2"/>
    <col min="8961" max="8961" width="8.69921875" style="2" customWidth="1"/>
    <col min="8962" max="8963" width="9.09765625" style="2"/>
    <col min="8964" max="8964" width="12.296875" style="2" bestFit="1" customWidth="1"/>
    <col min="8965" max="8965" width="11.09765625" style="2" bestFit="1" customWidth="1"/>
    <col min="8966" max="9216" width="9.09765625" style="2"/>
    <col min="9217" max="9217" width="8.69921875" style="2" customWidth="1"/>
    <col min="9218" max="9219" width="9.09765625" style="2"/>
    <col min="9220" max="9220" width="12.296875" style="2" bestFit="1" customWidth="1"/>
    <col min="9221" max="9221" width="11.09765625" style="2" bestFit="1" customWidth="1"/>
    <col min="9222" max="9472" width="9.09765625" style="2"/>
    <col min="9473" max="9473" width="8.69921875" style="2" customWidth="1"/>
    <col min="9474" max="9475" width="9.09765625" style="2"/>
    <col min="9476" max="9476" width="12.296875" style="2" bestFit="1" customWidth="1"/>
    <col min="9477" max="9477" width="11.09765625" style="2" bestFit="1" customWidth="1"/>
    <col min="9478" max="9728" width="9.09765625" style="2"/>
    <col min="9729" max="9729" width="8.69921875" style="2" customWidth="1"/>
    <col min="9730" max="9731" width="9.09765625" style="2"/>
    <col min="9732" max="9732" width="12.296875" style="2" bestFit="1" customWidth="1"/>
    <col min="9733" max="9733" width="11.09765625" style="2" bestFit="1" customWidth="1"/>
    <col min="9734" max="9984" width="9.09765625" style="2"/>
    <col min="9985" max="9985" width="8.69921875" style="2" customWidth="1"/>
    <col min="9986" max="9987" width="9.09765625" style="2"/>
    <col min="9988" max="9988" width="12.296875" style="2" bestFit="1" customWidth="1"/>
    <col min="9989" max="9989" width="11.09765625" style="2" bestFit="1" customWidth="1"/>
    <col min="9990" max="10240" width="9.09765625" style="2"/>
    <col min="10241" max="10241" width="8.69921875" style="2" customWidth="1"/>
    <col min="10242" max="10243" width="9.09765625" style="2"/>
    <col min="10244" max="10244" width="12.296875" style="2" bestFit="1" customWidth="1"/>
    <col min="10245" max="10245" width="11.09765625" style="2" bestFit="1" customWidth="1"/>
    <col min="10246" max="10496" width="9.09765625" style="2"/>
    <col min="10497" max="10497" width="8.69921875" style="2" customWidth="1"/>
    <col min="10498" max="10499" width="9.09765625" style="2"/>
    <col min="10500" max="10500" width="12.296875" style="2" bestFit="1" customWidth="1"/>
    <col min="10501" max="10501" width="11.09765625" style="2" bestFit="1" customWidth="1"/>
    <col min="10502" max="10752" width="9.09765625" style="2"/>
    <col min="10753" max="10753" width="8.69921875" style="2" customWidth="1"/>
    <col min="10754" max="10755" width="9.09765625" style="2"/>
    <col min="10756" max="10756" width="12.296875" style="2" bestFit="1" customWidth="1"/>
    <col min="10757" max="10757" width="11.09765625" style="2" bestFit="1" customWidth="1"/>
    <col min="10758" max="11008" width="9.09765625" style="2"/>
    <col min="11009" max="11009" width="8.69921875" style="2" customWidth="1"/>
    <col min="11010" max="11011" width="9.09765625" style="2"/>
    <col min="11012" max="11012" width="12.296875" style="2" bestFit="1" customWidth="1"/>
    <col min="11013" max="11013" width="11.09765625" style="2" bestFit="1" customWidth="1"/>
    <col min="11014" max="11264" width="9.09765625" style="2"/>
    <col min="11265" max="11265" width="8.69921875" style="2" customWidth="1"/>
    <col min="11266" max="11267" width="9.09765625" style="2"/>
    <col min="11268" max="11268" width="12.296875" style="2" bestFit="1" customWidth="1"/>
    <col min="11269" max="11269" width="11.09765625" style="2" bestFit="1" customWidth="1"/>
    <col min="11270" max="11520" width="9.09765625" style="2"/>
    <col min="11521" max="11521" width="8.69921875" style="2" customWidth="1"/>
    <col min="11522" max="11523" width="9.09765625" style="2"/>
    <col min="11524" max="11524" width="12.296875" style="2" bestFit="1" customWidth="1"/>
    <col min="11525" max="11525" width="11.09765625" style="2" bestFit="1" customWidth="1"/>
    <col min="11526" max="11776" width="9.09765625" style="2"/>
    <col min="11777" max="11777" width="8.69921875" style="2" customWidth="1"/>
    <col min="11778" max="11779" width="9.09765625" style="2"/>
    <col min="11780" max="11780" width="12.296875" style="2" bestFit="1" customWidth="1"/>
    <col min="11781" max="11781" width="11.09765625" style="2" bestFit="1" customWidth="1"/>
    <col min="11782" max="12032" width="9.09765625" style="2"/>
    <col min="12033" max="12033" width="8.69921875" style="2" customWidth="1"/>
    <col min="12034" max="12035" width="9.09765625" style="2"/>
    <col min="12036" max="12036" width="12.296875" style="2" bestFit="1" customWidth="1"/>
    <col min="12037" max="12037" width="11.09765625" style="2" bestFit="1" customWidth="1"/>
    <col min="12038" max="12288" width="9.09765625" style="2"/>
    <col min="12289" max="12289" width="8.69921875" style="2" customWidth="1"/>
    <col min="12290" max="12291" width="9.09765625" style="2"/>
    <col min="12292" max="12292" width="12.296875" style="2" bestFit="1" customWidth="1"/>
    <col min="12293" max="12293" width="11.09765625" style="2" bestFit="1" customWidth="1"/>
    <col min="12294" max="12544" width="9.09765625" style="2"/>
    <col min="12545" max="12545" width="8.69921875" style="2" customWidth="1"/>
    <col min="12546" max="12547" width="9.09765625" style="2"/>
    <col min="12548" max="12548" width="12.296875" style="2" bestFit="1" customWidth="1"/>
    <col min="12549" max="12549" width="11.09765625" style="2" bestFit="1" customWidth="1"/>
    <col min="12550" max="12800" width="9.09765625" style="2"/>
    <col min="12801" max="12801" width="8.69921875" style="2" customWidth="1"/>
    <col min="12802" max="12803" width="9.09765625" style="2"/>
    <col min="12804" max="12804" width="12.296875" style="2" bestFit="1" customWidth="1"/>
    <col min="12805" max="12805" width="11.09765625" style="2" bestFit="1" customWidth="1"/>
    <col min="12806" max="13056" width="9.09765625" style="2"/>
    <col min="13057" max="13057" width="8.69921875" style="2" customWidth="1"/>
    <col min="13058" max="13059" width="9.09765625" style="2"/>
    <col min="13060" max="13060" width="12.296875" style="2" bestFit="1" customWidth="1"/>
    <col min="13061" max="13061" width="11.09765625" style="2" bestFit="1" customWidth="1"/>
    <col min="13062" max="13312" width="9.09765625" style="2"/>
    <col min="13313" max="13313" width="8.69921875" style="2" customWidth="1"/>
    <col min="13314" max="13315" width="9.09765625" style="2"/>
    <col min="13316" max="13316" width="12.296875" style="2" bestFit="1" customWidth="1"/>
    <col min="13317" max="13317" width="11.09765625" style="2" bestFit="1" customWidth="1"/>
    <col min="13318" max="13568" width="9.09765625" style="2"/>
    <col min="13569" max="13569" width="8.69921875" style="2" customWidth="1"/>
    <col min="13570" max="13571" width="9.09765625" style="2"/>
    <col min="13572" max="13572" width="12.296875" style="2" bestFit="1" customWidth="1"/>
    <col min="13573" max="13573" width="11.09765625" style="2" bestFit="1" customWidth="1"/>
    <col min="13574" max="13824" width="9.09765625" style="2"/>
    <col min="13825" max="13825" width="8.69921875" style="2" customWidth="1"/>
    <col min="13826" max="13827" width="9.09765625" style="2"/>
    <col min="13828" max="13828" width="12.296875" style="2" bestFit="1" customWidth="1"/>
    <col min="13829" max="13829" width="11.09765625" style="2" bestFit="1" customWidth="1"/>
    <col min="13830" max="14080" width="9.09765625" style="2"/>
    <col min="14081" max="14081" width="8.69921875" style="2" customWidth="1"/>
    <col min="14082" max="14083" width="9.09765625" style="2"/>
    <col min="14084" max="14084" width="12.296875" style="2" bestFit="1" customWidth="1"/>
    <col min="14085" max="14085" width="11.09765625" style="2" bestFit="1" customWidth="1"/>
    <col min="14086" max="14336" width="9.09765625" style="2"/>
    <col min="14337" max="14337" width="8.69921875" style="2" customWidth="1"/>
    <col min="14338" max="14339" width="9.09765625" style="2"/>
    <col min="14340" max="14340" width="12.296875" style="2" bestFit="1" customWidth="1"/>
    <col min="14341" max="14341" width="11.09765625" style="2" bestFit="1" customWidth="1"/>
    <col min="14342" max="14592" width="9.09765625" style="2"/>
    <col min="14593" max="14593" width="8.69921875" style="2" customWidth="1"/>
    <col min="14594" max="14595" width="9.09765625" style="2"/>
    <col min="14596" max="14596" width="12.296875" style="2" bestFit="1" customWidth="1"/>
    <col min="14597" max="14597" width="11.09765625" style="2" bestFit="1" customWidth="1"/>
    <col min="14598" max="14848" width="9.09765625" style="2"/>
    <col min="14849" max="14849" width="8.69921875" style="2" customWidth="1"/>
    <col min="14850" max="14851" width="9.09765625" style="2"/>
    <col min="14852" max="14852" width="12.296875" style="2" bestFit="1" customWidth="1"/>
    <col min="14853" max="14853" width="11.09765625" style="2" bestFit="1" customWidth="1"/>
    <col min="14854" max="15104" width="9.09765625" style="2"/>
    <col min="15105" max="15105" width="8.69921875" style="2" customWidth="1"/>
    <col min="15106" max="15107" width="9.09765625" style="2"/>
    <col min="15108" max="15108" width="12.296875" style="2" bestFit="1" customWidth="1"/>
    <col min="15109" max="15109" width="11.09765625" style="2" bestFit="1" customWidth="1"/>
    <col min="15110" max="15360" width="9.09765625" style="2"/>
    <col min="15361" max="15361" width="8.69921875" style="2" customWidth="1"/>
    <col min="15362" max="15363" width="9.09765625" style="2"/>
    <col min="15364" max="15364" width="12.296875" style="2" bestFit="1" customWidth="1"/>
    <col min="15365" max="15365" width="11.09765625" style="2" bestFit="1" customWidth="1"/>
    <col min="15366" max="15616" width="9.09765625" style="2"/>
    <col min="15617" max="15617" width="8.69921875" style="2" customWidth="1"/>
    <col min="15618" max="15619" width="9.09765625" style="2"/>
    <col min="15620" max="15620" width="12.296875" style="2" bestFit="1" customWidth="1"/>
    <col min="15621" max="15621" width="11.09765625" style="2" bestFit="1" customWidth="1"/>
    <col min="15622" max="15872" width="9.09765625" style="2"/>
    <col min="15873" max="15873" width="8.69921875" style="2" customWidth="1"/>
    <col min="15874" max="15875" width="9.09765625" style="2"/>
    <col min="15876" max="15876" width="12.296875" style="2" bestFit="1" customWidth="1"/>
    <col min="15877" max="15877" width="11.09765625" style="2" bestFit="1" customWidth="1"/>
    <col min="15878" max="16128" width="9.09765625" style="2"/>
    <col min="16129" max="16129" width="8.69921875" style="2" customWidth="1"/>
    <col min="16130" max="16131" width="9.09765625" style="2"/>
    <col min="16132" max="16132" width="12.296875" style="2" bestFit="1" customWidth="1"/>
    <col min="16133" max="16133" width="11.09765625" style="2" bestFit="1" customWidth="1"/>
    <col min="16134" max="16384" width="9.09765625" style="2"/>
  </cols>
  <sheetData>
    <row r="1" spans="1:17" ht="13" x14ac:dyDescent="0.3">
      <c r="A1" s="73"/>
    </row>
    <row r="2" spans="1:17" ht="15.5" x14ac:dyDescent="0.35">
      <c r="B2" s="108"/>
      <c r="C2" s="112" t="s">
        <v>47</v>
      </c>
      <c r="D2" s="112"/>
      <c r="E2" s="112"/>
      <c r="F2" s="44"/>
      <c r="G2" s="45" t="s">
        <v>10</v>
      </c>
    </row>
    <row r="3" spans="1:17" ht="15" customHeight="1" x14ac:dyDescent="0.25">
      <c r="B3" s="109"/>
      <c r="C3" s="46" t="s">
        <v>2</v>
      </c>
      <c r="D3" s="46" t="s">
        <v>5</v>
      </c>
      <c r="E3" s="80" t="s">
        <v>3</v>
      </c>
      <c r="F3" s="19" t="s">
        <v>45</v>
      </c>
      <c r="G3" s="47">
        <f>B4</f>
        <v>46054</v>
      </c>
    </row>
    <row r="4" spans="1:17" ht="15.5" x14ac:dyDescent="0.25">
      <c r="B4" s="48">
        <v>46054</v>
      </c>
      <c r="C4" s="49">
        <f>VLOOKUP($B4,'AMPE-MCVE'!$B:$K,8,FALSE)</f>
        <v>17.369791666666668</v>
      </c>
      <c r="D4" s="49">
        <f>VLOOKUP($B4,'AMPE-MCVE'!$B:$K,9,FALSE)</f>
        <v>0.74839664528860383</v>
      </c>
      <c r="E4" s="49">
        <f>VLOOKUP($B4,'AMPE-MCVE'!$B:$K,10,FALSE)</f>
        <v>14.633381088825216</v>
      </c>
      <c r="F4" s="50">
        <f>VLOOKUP($B4,'AMPE-MCVE'!$B:$D,2,FALSE)</f>
        <v>32.75156940078049</v>
      </c>
      <c r="G4" s="49"/>
      <c r="P4" s="78"/>
      <c r="Q4" s="78"/>
    </row>
    <row r="5" spans="1:17" ht="15.5" x14ac:dyDescent="0.25">
      <c r="B5" s="51">
        <f>EDATE(B4,-1)</f>
        <v>46023</v>
      </c>
      <c r="C5" s="52">
        <f>VLOOKUP($B5,'AMPE-MCVE'!$B:$K,8,FALSE)</f>
        <v>17.005208333333332</v>
      </c>
      <c r="D5" s="52">
        <f>VLOOKUP($B5,'AMPE-MCVE'!$B:$K,9,FALSE)</f>
        <v>0.6349284657128762</v>
      </c>
      <c r="E5" s="52">
        <f>VLOOKUP($B5,'AMPE-MCVE'!$B:$K,10,FALSE)</f>
        <v>12.450840496657117</v>
      </c>
      <c r="F5" s="53">
        <f>VLOOKUP($B5,'AMPE-MCVE'!$B:$D,2,FALSE)</f>
        <v>30.090977295703325</v>
      </c>
      <c r="G5" s="70">
        <f>($F$4-F5)/F5</f>
        <v>8.8418268337767433E-2</v>
      </c>
      <c r="P5" s="78"/>
      <c r="Q5" s="78"/>
    </row>
    <row r="6" spans="1:17" ht="15.5" x14ac:dyDescent="0.25">
      <c r="B6" s="54">
        <f>EDATE(B4,-12)</f>
        <v>45689</v>
      </c>
      <c r="C6" s="49">
        <f>VLOOKUP($B6,'AMPE-MCVE'!$B:$K,8,FALSE)</f>
        <v>29.088541666666668</v>
      </c>
      <c r="D6" s="49">
        <f>VLOOKUP($B6,'AMPE-MCVE'!$B:$K,9,FALSE)</f>
        <v>0.73852984706462754</v>
      </c>
      <c r="E6" s="49">
        <f>VLOOKUP($B6,'AMPE-MCVE'!$B:$K,10,FALSE)</f>
        <v>14.573820439350525</v>
      </c>
      <c r="F6" s="50">
        <f>VLOOKUP($B6,'AMPE-MCVE'!$B:$D,2,FALSE)</f>
        <v>44.400891953081818</v>
      </c>
      <c r="G6" s="55">
        <f>($F$4-F6)/F6</f>
        <v>-0.26236685885975231</v>
      </c>
      <c r="P6" s="78"/>
      <c r="Q6" s="78"/>
    </row>
    <row r="7" spans="1:17" ht="15.5" x14ac:dyDescent="0.25">
      <c r="B7" s="56"/>
      <c r="C7" s="57"/>
      <c r="D7" s="57"/>
      <c r="E7" s="57"/>
      <c r="F7" s="58"/>
      <c r="G7" s="59"/>
      <c r="P7" s="78"/>
      <c r="Q7" s="78"/>
    </row>
    <row r="8" spans="1:17" ht="15.5" x14ac:dyDescent="0.35">
      <c r="B8" s="108"/>
      <c r="C8" s="107" t="s">
        <v>48</v>
      </c>
      <c r="D8" s="107"/>
      <c r="E8" s="107"/>
      <c r="F8" s="60"/>
      <c r="G8" s="45" t="s">
        <v>10</v>
      </c>
      <c r="P8" s="78"/>
      <c r="Q8" s="78"/>
    </row>
    <row r="9" spans="1:17" ht="15.5" x14ac:dyDescent="0.25">
      <c r="B9" s="109"/>
      <c r="C9" s="46" t="s">
        <v>7</v>
      </c>
      <c r="D9" s="46" t="s">
        <v>9</v>
      </c>
      <c r="E9" s="46" t="s">
        <v>8</v>
      </c>
      <c r="F9" s="19" t="s">
        <v>46</v>
      </c>
      <c r="G9" s="47">
        <f>B10</f>
        <v>46054</v>
      </c>
      <c r="P9" s="78"/>
      <c r="Q9" s="78"/>
    </row>
    <row r="10" spans="1:17" ht="15.5" x14ac:dyDescent="0.25">
      <c r="B10" s="48">
        <f>B4</f>
        <v>46054</v>
      </c>
      <c r="C10" s="49">
        <f>VLOOKUP($B10,'AMPE-MCVE'!$B:$R,15,FALSE)</f>
        <v>28.160270880361175</v>
      </c>
      <c r="D10" s="49">
        <f>VLOOKUP($B10,'AMPE-MCVE'!$B:$R,16,FALSE)</f>
        <v>3.0540497951465504</v>
      </c>
      <c r="E10" s="49">
        <f>VLOOKUP($B10,'AMPE-MCVE'!$B:$R,17,FALSE)</f>
        <v>1.4936018957345971</v>
      </c>
      <c r="F10" s="50">
        <f>VLOOKUP($B10,'AMPE-MCVE'!$B:$D,3,FALSE)</f>
        <v>32.707922571242321</v>
      </c>
      <c r="G10" s="49"/>
    </row>
    <row r="11" spans="1:17" ht="15.5" x14ac:dyDescent="0.25">
      <c r="B11" s="51">
        <f>B5</f>
        <v>46023</v>
      </c>
      <c r="C11" s="52">
        <f>VLOOKUP($B11,'AMPE-MCVE'!$B:$R,15,FALSE)</f>
        <v>27.483069977426638</v>
      </c>
      <c r="D11" s="52">
        <f>VLOOKUP($B11,'AMPE-MCVE'!$B:$R,16,FALSE)</f>
        <v>2.8375423066909664</v>
      </c>
      <c r="E11" s="52">
        <f>VLOOKUP($B11,'AMPE-MCVE'!$B:$R,17,FALSE)</f>
        <v>1.4620853080568721</v>
      </c>
      <c r="F11" s="53">
        <f>VLOOKUP($B11,'AMPE-MCVE'!$B:$D,3,FALSE)</f>
        <v>31.782697592174475</v>
      </c>
      <c r="G11" s="70">
        <f>($F$10-F11)/F11</f>
        <v>2.9110964429138138E-2</v>
      </c>
    </row>
    <row r="12" spans="1:17" ht="15.5" x14ac:dyDescent="0.25">
      <c r="B12" s="54">
        <f>B6</f>
        <v>45689</v>
      </c>
      <c r="C12" s="49">
        <f>VLOOKUP($B12,'AMPE-MCVE'!$B:$R,15,FALSE)</f>
        <v>39.89841986455982</v>
      </c>
      <c r="D12" s="49">
        <f>VLOOKUP($B12,'AMPE-MCVE'!$B:$R,16,FALSE)</f>
        <v>2.4354192638613559</v>
      </c>
      <c r="E12" s="49">
        <f>VLOOKUP($B12,'AMPE-MCVE'!$B:$R,17,FALSE)</f>
        <v>2.5066350710900474</v>
      </c>
      <c r="F12" s="50">
        <f>VLOOKUP($B12,'AMPE-MCVE'!$B:$D,3,FALSE)</f>
        <v>44.84047419951122</v>
      </c>
      <c r="G12" s="55">
        <f>($F$10-F12)/F12</f>
        <v>-0.27057143897022279</v>
      </c>
    </row>
    <row r="13" spans="1:17" ht="15.5" x14ac:dyDescent="0.35">
      <c r="B13" s="61" t="s">
        <v>11</v>
      </c>
      <c r="C13" s="57"/>
      <c r="D13" s="62"/>
      <c r="E13" s="62"/>
      <c r="F13" s="62"/>
      <c r="G13" s="62"/>
    </row>
    <row r="16" spans="1:17" ht="13" hidden="1" x14ac:dyDescent="0.3">
      <c r="A16" s="73">
        <v>2014</v>
      </c>
      <c r="B16" s="85" t="s">
        <v>55</v>
      </c>
    </row>
    <row r="17" spans="2:7" ht="15.5" hidden="1" x14ac:dyDescent="0.35">
      <c r="B17" s="108"/>
      <c r="C17" s="107" t="s">
        <v>31</v>
      </c>
      <c r="D17" s="107"/>
      <c r="E17" s="107"/>
      <c r="F17" s="44"/>
      <c r="G17" s="45" t="s">
        <v>10</v>
      </c>
    </row>
    <row r="18" spans="2:7" ht="15.5" hidden="1" x14ac:dyDescent="0.25">
      <c r="B18" s="109"/>
      <c r="C18" s="46" t="s">
        <v>2</v>
      </c>
      <c r="D18" s="46" t="s">
        <v>5</v>
      </c>
      <c r="E18" s="46" t="s">
        <v>3</v>
      </c>
      <c r="F18" s="19" t="s">
        <v>28</v>
      </c>
      <c r="G18" s="47">
        <f>B19</f>
        <v>44562</v>
      </c>
    </row>
    <row r="19" spans="2:7" ht="15.5" hidden="1" x14ac:dyDescent="0.25">
      <c r="B19" s="48">
        <v>44562</v>
      </c>
      <c r="C19" s="49">
        <f>VLOOKUP($B$19,'AMPE-MCVE 2014'!$B$9:$H$269,7,FALSE)</f>
        <v>22.803729097814827</v>
      </c>
      <c r="D19" s="49">
        <f>VLOOKUP($B19,'AMPE-MCVE 2014'!$B$9:$I$269,8,FALSE)</f>
        <v>1.1274915036281803</v>
      </c>
      <c r="E19" s="49">
        <f>VLOOKUP($B19,'AMPE-MCVE 2014'!$B$9:$J$269,9,FALSE)</f>
        <v>23.134328358208954</v>
      </c>
      <c r="F19" s="50">
        <f>VLOOKUP($B19,'AMPE-MCVE 2014'!B9:C269,2,FALSE)</f>
        <v>47.065548959651963</v>
      </c>
      <c r="G19" s="49"/>
    </row>
    <row r="20" spans="2:7" ht="15.5" hidden="1" x14ac:dyDescent="0.25">
      <c r="B20" s="51">
        <f>EDATE(B19,-1)</f>
        <v>44531</v>
      </c>
      <c r="C20" s="52">
        <f>VLOOKUP($B$20,'AMPE-MCVE 2014'!$B$9:$H$269,7,FALSE)</f>
        <v>21.817195284368371</v>
      </c>
      <c r="D20" s="52">
        <f>VLOOKUP($B20,'AMPE-MCVE 2014'!$B$9:$I$269,8,FALSE)</f>
        <v>1.0540093689721686</v>
      </c>
      <c r="E20" s="52">
        <f>VLOOKUP($B20,'AMPE-MCVE 2014'!$B$9:$J$269,9,FALSE)</f>
        <v>21.64179104477612</v>
      </c>
      <c r="F20" s="53">
        <f>VLOOKUP($B20,'AMPE-MCVE 2014'!B10:C270,2,FALSE)</f>
        <v>44.512995698116654</v>
      </c>
      <c r="G20" s="70">
        <f>($F$19-F20)/F20</f>
        <v>5.7344000813751281E-2</v>
      </c>
    </row>
    <row r="21" spans="2:7" ht="15.5" hidden="1" x14ac:dyDescent="0.25">
      <c r="B21" s="54">
        <f>EDATE(B19,-12)</f>
        <v>44197</v>
      </c>
      <c r="C21" s="49">
        <f>VLOOKUP($B$21,'AMPE-MCVE 2014'!$B$9:$H$269,7,FALSE)</f>
        <v>13.924924776796725</v>
      </c>
      <c r="D21" s="49">
        <f>VLOOKUP($B21,'AMPE-MCVE 2014'!$B$9:$I$269,8,FALSE)</f>
        <v>0.72793239643611651</v>
      </c>
      <c r="E21" s="49">
        <f>VLOOKUP($B21,'AMPE-MCVE 2014'!$B$9:$J$269,9,FALSE)</f>
        <v>15.01865671641791</v>
      </c>
      <c r="F21" s="50">
        <f>VLOOKUP($B21,'AMPE-MCVE 2014'!B11:C271,2,FALSE)</f>
        <v>29.671513889650754</v>
      </c>
      <c r="G21" s="55">
        <f>($F$19-F21)/F21</f>
        <v>0.58622000665992791</v>
      </c>
    </row>
    <row r="22" spans="2:7" s="43" customFormat="1" ht="15.5" hidden="1" x14ac:dyDescent="0.25">
      <c r="B22" s="56"/>
      <c r="C22" s="57"/>
      <c r="D22" s="57"/>
      <c r="E22" s="57"/>
      <c r="F22" s="58"/>
      <c r="G22" s="59"/>
    </row>
    <row r="23" spans="2:7" ht="15.5" hidden="1" x14ac:dyDescent="0.35">
      <c r="B23" s="108"/>
      <c r="C23" s="107" t="s">
        <v>32</v>
      </c>
      <c r="D23" s="107"/>
      <c r="E23" s="107"/>
      <c r="F23" s="60"/>
      <c r="G23" s="45" t="s">
        <v>10</v>
      </c>
    </row>
    <row r="24" spans="2:7" ht="12.75" hidden="1" customHeight="1" x14ac:dyDescent="0.25">
      <c r="B24" s="109"/>
      <c r="C24" s="46" t="s">
        <v>7</v>
      </c>
      <c r="D24" s="46" t="s">
        <v>9</v>
      </c>
      <c r="E24" s="46" t="s">
        <v>8</v>
      </c>
      <c r="F24" s="19" t="s">
        <v>29</v>
      </c>
      <c r="G24" s="47">
        <f>B25</f>
        <v>44562</v>
      </c>
    </row>
    <row r="25" spans="2:7" ht="15.5" hidden="1" x14ac:dyDescent="0.25">
      <c r="B25" s="48">
        <f>B19</f>
        <v>44562</v>
      </c>
      <c r="C25" s="49">
        <f>VLOOKUP($B25,'AMPE-MCVE 2014'!B9:O269,14,FALSE)</f>
        <v>36.967741935483872</v>
      </c>
      <c r="D25" s="49">
        <f>VLOOKUP($B25,'AMPE-MCVE 2014'!B9:P269,15,FALSE)</f>
        <v>3.7682133233496069</v>
      </c>
      <c r="E25" s="49">
        <f>VLOOKUP($B25,'AMPE-MCVE 2014'!B9:Q269,16,FALSE)</f>
        <v>1.9830275229357799</v>
      </c>
      <c r="F25" s="50">
        <f>VLOOKUP($B25,'AMPE-MCVE 2014'!B14:D269,3,FALSE)</f>
        <v>42.718982781769256</v>
      </c>
      <c r="G25" s="49"/>
    </row>
    <row r="26" spans="2:7" ht="15.5" hidden="1" x14ac:dyDescent="0.25">
      <c r="B26" s="51">
        <f>B20</f>
        <v>44531</v>
      </c>
      <c r="C26" s="52">
        <f>VLOOKUP($B26,'AMPE-MCVE 2014'!B10:O269,14,FALSE)</f>
        <v>35.247311827956992</v>
      </c>
      <c r="D26" s="52">
        <f>VLOOKUP($B26,'AMPE-MCVE 2014'!B10:P269,15,FALSE)</f>
        <v>3.4904125189177315</v>
      </c>
      <c r="E26" s="52">
        <f>VLOOKUP($B26,'AMPE-MCVE 2014'!B10:Q269,16,FALSE)</f>
        <v>1.8912844036697247</v>
      </c>
      <c r="F26" s="53">
        <f>VLOOKUP($B26,'AMPE-MCVE 2014'!B15:D269,3,FALSE)</f>
        <v>40.629008750544443</v>
      </c>
      <c r="G26" s="84">
        <f>($F$25-F26)/F26</f>
        <v>5.1440438629869509E-2</v>
      </c>
    </row>
    <row r="27" spans="2:7" ht="15.5" hidden="1" x14ac:dyDescent="0.25">
      <c r="B27" s="54">
        <f>B21</f>
        <v>44197</v>
      </c>
      <c r="C27" s="49">
        <f>VLOOKUP($B27,'AMPE-MCVE 2014'!B11:O269,14,FALSE)</f>
        <v>28.150537634408604</v>
      </c>
      <c r="D27" s="49">
        <f>VLOOKUP($B27,'AMPE-MCVE 2014'!B11:P269,15,FALSE)</f>
        <v>2.1292223508365771</v>
      </c>
      <c r="E27" s="49">
        <f>VLOOKUP($B27,'AMPE-MCVE 2014'!B11:Q269,16,FALSE)</f>
        <v>1.1573394495412843</v>
      </c>
      <c r="F27" s="50">
        <f>VLOOKUP($B27,'AMPE-MCVE 2014'!B16:D269,3,FALSE)</f>
        <v>31.437099434786465</v>
      </c>
      <c r="G27" s="55">
        <f>($F$25-F27)/F27</f>
        <v>0.35887163732729477</v>
      </c>
    </row>
    <row r="28" spans="2:7" ht="15.5" hidden="1" x14ac:dyDescent="0.35">
      <c r="B28" s="61" t="s">
        <v>11</v>
      </c>
      <c r="C28" s="62"/>
      <c r="D28" s="62"/>
      <c r="E28" s="62"/>
      <c r="F28" s="83">
        <f>F25-F26</f>
        <v>2.0899740312248127</v>
      </c>
      <c r="G28" s="62"/>
    </row>
    <row r="31" spans="2:7" ht="15.5" x14ac:dyDescent="0.35">
      <c r="C31" s="110" t="s">
        <v>43</v>
      </c>
      <c r="D31" s="107"/>
      <c r="E31" s="111"/>
    </row>
    <row r="32" spans="2:7" ht="15.5" x14ac:dyDescent="0.25">
      <c r="C32" s="46"/>
      <c r="D32" s="46" t="s">
        <v>1</v>
      </c>
      <c r="E32" s="46" t="s">
        <v>44</v>
      </c>
    </row>
    <row r="33" spans="1:6" ht="15.5" x14ac:dyDescent="0.25">
      <c r="C33" s="48">
        <f t="shared" ref="C33:C36" si="0">EDATE(C34,-1)</f>
        <v>45901</v>
      </c>
      <c r="D33" s="79">
        <f>VLOOKUP($C33,MMV!$B:$D,2,FALSE)</f>
        <v>39.044986832612913</v>
      </c>
      <c r="E33" s="79">
        <f>VLOOKUP($C33,MMV!$B:$D,3,FALSE)</f>
        <v>-4.5102256047507652</v>
      </c>
    </row>
    <row r="34" spans="1:6" ht="15.5" x14ac:dyDescent="0.25">
      <c r="A34" s="3"/>
      <c r="C34" s="51">
        <f t="shared" si="0"/>
        <v>45931</v>
      </c>
      <c r="D34" s="52">
        <f>VLOOKUP($C34,MMV!$B:$D,2,FALSE)</f>
        <v>34.930330345391198</v>
      </c>
      <c r="E34" s="52">
        <f>VLOOKUP($C34,MMV!$B:$D,3,FALSE)</f>
        <v>-4.1146564872217155</v>
      </c>
    </row>
    <row r="35" spans="1:6" ht="15.5" x14ac:dyDescent="0.25">
      <c r="C35" s="48">
        <f t="shared" si="0"/>
        <v>45962</v>
      </c>
      <c r="D35" s="49">
        <f>VLOOKUP($C35,MMV!$B:$D,2,FALSE)</f>
        <v>33.146264297119671</v>
      </c>
      <c r="E35" s="49">
        <f>VLOOKUP($C35,MMV!$B:$D,3,FALSE)</f>
        <v>-1.7840660482715265</v>
      </c>
    </row>
    <row r="36" spans="1:6" ht="15.5" x14ac:dyDescent="0.25">
      <c r="C36" s="51">
        <f t="shared" si="0"/>
        <v>45992</v>
      </c>
      <c r="D36" s="52">
        <f>VLOOKUP($C36,MMV!$B:$D,2,FALSE)</f>
        <v>31.172003746906285</v>
      </c>
      <c r="E36" s="52">
        <f>VLOOKUP($C36,MMV!$B:$D,3,FALSE)</f>
        <v>-1.974260550213387</v>
      </c>
    </row>
    <row r="37" spans="1:6" ht="15.5" x14ac:dyDescent="0.25">
      <c r="C37" s="48">
        <f>EDATE(C38,-1)</f>
        <v>46023</v>
      </c>
      <c r="D37" s="49">
        <f>VLOOKUP($C37,MMV!$B:$D,2,FALSE)</f>
        <v>31.44435353288025</v>
      </c>
      <c r="E37" s="49">
        <f>VLOOKUP($C37,MMV!$B:$D,3,FALSE)</f>
        <v>0.2723497859739652</v>
      </c>
    </row>
    <row r="38" spans="1:6" ht="15.5" x14ac:dyDescent="0.25">
      <c r="C38" s="51">
        <f>B4</f>
        <v>46054</v>
      </c>
      <c r="D38" s="52">
        <f>VLOOKUP($C38,MMV!$B:$D,2,FALSE)</f>
        <v>32.716651937149955</v>
      </c>
      <c r="E38" s="52">
        <f>VLOOKUP($C38,MMV!$B:$D,3,FALSE)</f>
        <v>1.272298404269705</v>
      </c>
      <c r="F38" s="88"/>
    </row>
    <row r="39" spans="1:6" ht="15.5" x14ac:dyDescent="0.35">
      <c r="C39" s="61" t="s">
        <v>11</v>
      </c>
    </row>
  </sheetData>
  <mergeCells count="9">
    <mergeCell ref="C23:E23"/>
    <mergeCell ref="B23:B24"/>
    <mergeCell ref="C31:E31"/>
    <mergeCell ref="B2:B3"/>
    <mergeCell ref="C2:E2"/>
    <mergeCell ref="B8:B9"/>
    <mergeCell ref="C8:E8"/>
    <mergeCell ref="B17:B18"/>
    <mergeCell ref="C17:E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showGridLines="0" zoomScale="89" zoomScaleNormal="110" workbookViewId="0">
      <selection activeCell="W5" sqref="W5"/>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K43"/>
  <sheetViews>
    <sheetView showGridLines="0" topLeftCell="A26" zoomScaleNormal="100" workbookViewId="0">
      <selection activeCell="J11" sqref="J11"/>
    </sheetView>
  </sheetViews>
  <sheetFormatPr defaultColWidth="11.3984375" defaultRowHeight="15.5" x14ac:dyDescent="0.3"/>
  <cols>
    <col min="1" max="1" width="26" style="63" customWidth="1"/>
    <col min="2" max="11" width="12.69921875" style="63" customWidth="1"/>
    <col min="12" max="16384" width="11.3984375" style="63"/>
  </cols>
  <sheetData>
    <row r="1" spans="1:11" ht="15" customHeight="1" thickBot="1" x14ac:dyDescent="0.35"/>
    <row r="2" spans="1:11" s="27" customFormat="1" x14ac:dyDescent="0.3">
      <c r="A2" s="28" t="s">
        <v>21</v>
      </c>
      <c r="B2" s="28"/>
      <c r="C2" s="28"/>
      <c r="D2" s="28"/>
      <c r="E2" s="28"/>
      <c r="F2" s="28"/>
      <c r="G2" s="28"/>
      <c r="H2" s="28"/>
      <c r="I2" s="28"/>
      <c r="J2" s="28"/>
      <c r="K2" s="28"/>
    </row>
    <row r="3" spans="1:11" s="27" customFormat="1" x14ac:dyDescent="0.3">
      <c r="A3" s="75"/>
      <c r="B3" s="75"/>
      <c r="C3" s="75"/>
      <c r="D3" s="75"/>
      <c r="E3" s="75"/>
      <c r="F3" s="75"/>
      <c r="G3" s="75"/>
      <c r="H3" s="75"/>
      <c r="I3" s="75"/>
      <c r="J3" s="75"/>
      <c r="K3" s="75"/>
    </row>
    <row r="4" spans="1:11" s="27" customFormat="1" ht="15.75" customHeight="1" x14ac:dyDescent="0.3">
      <c r="A4" s="113" t="s">
        <v>39</v>
      </c>
      <c r="B4" s="113"/>
      <c r="C4" s="113"/>
      <c r="D4" s="113"/>
      <c r="E4" s="113"/>
      <c r="F4" s="113"/>
      <c r="G4" s="113"/>
      <c r="H4" s="113"/>
      <c r="I4" s="113"/>
      <c r="J4" s="113"/>
      <c r="K4" s="113"/>
    </row>
    <row r="5" spans="1:11" s="27" customFormat="1" ht="34.5" customHeight="1" x14ac:dyDescent="0.3">
      <c r="A5" s="113"/>
      <c r="B5" s="113"/>
      <c r="C5" s="113"/>
      <c r="D5" s="113"/>
      <c r="E5" s="113"/>
      <c r="F5" s="113"/>
      <c r="G5" s="113"/>
      <c r="H5" s="113"/>
      <c r="I5" s="113"/>
      <c r="J5" s="113"/>
      <c r="K5" s="113"/>
    </row>
    <row r="6" spans="1:11" s="27" customFormat="1" ht="34.5" customHeight="1" x14ac:dyDescent="0.3">
      <c r="A6" s="96" t="s">
        <v>59</v>
      </c>
      <c r="B6" s="91"/>
      <c r="C6" s="91"/>
      <c r="D6" s="91"/>
      <c r="E6" s="91"/>
      <c r="F6" s="91"/>
      <c r="G6" s="91"/>
      <c r="H6" s="91"/>
      <c r="I6" s="91"/>
      <c r="J6" s="91"/>
      <c r="K6" s="91"/>
    </row>
    <row r="7" spans="1:11" s="29" customFormat="1" ht="21" customHeight="1" x14ac:dyDescent="0.35">
      <c r="A7" s="29" t="s">
        <v>34</v>
      </c>
    </row>
    <row r="8" spans="1:11" s="29" customFormat="1" ht="21" customHeight="1" x14ac:dyDescent="0.35">
      <c r="A8" s="89" t="s">
        <v>57</v>
      </c>
    </row>
    <row r="9" spans="1:11" s="27" customFormat="1" ht="51" customHeight="1" x14ac:dyDescent="0.3">
      <c r="A9" s="114" t="s">
        <v>20</v>
      </c>
      <c r="B9" s="114"/>
      <c r="C9" s="114"/>
      <c r="D9" s="114"/>
      <c r="E9" s="114"/>
      <c r="F9" s="114"/>
      <c r="G9" s="114"/>
      <c r="H9" s="114"/>
      <c r="I9" s="114"/>
      <c r="J9" s="114"/>
      <c r="K9" s="114"/>
    </row>
    <row r="10" spans="1:11" s="27" customFormat="1" ht="9.75" customHeight="1" x14ac:dyDescent="0.3"/>
    <row r="11" spans="1:11" s="27" customFormat="1" x14ac:dyDescent="0.3">
      <c r="A11" s="122" t="s">
        <v>33</v>
      </c>
    </row>
    <row r="12" spans="1:11" s="27" customFormat="1" ht="15" customHeight="1" thickBot="1" x14ac:dyDescent="0.35"/>
    <row r="13" spans="1:11" x14ac:dyDescent="0.35">
      <c r="A13" s="116" t="s">
        <v>12</v>
      </c>
      <c r="B13" s="116"/>
      <c r="C13" s="116"/>
      <c r="D13" s="116"/>
      <c r="E13" s="116"/>
      <c r="F13" s="116"/>
      <c r="G13" s="116"/>
      <c r="H13" s="116"/>
      <c r="I13" s="116"/>
      <c r="J13" s="116"/>
      <c r="K13" s="116"/>
    </row>
    <row r="14" spans="1:11" ht="15" customHeight="1" x14ac:dyDescent="0.35">
      <c r="A14" s="64"/>
      <c r="B14" s="64"/>
      <c r="C14" s="64"/>
      <c r="D14" s="64"/>
      <c r="E14" s="64"/>
      <c r="F14" s="64"/>
      <c r="G14" s="64"/>
      <c r="H14" s="64"/>
      <c r="I14" s="64"/>
      <c r="J14" s="64"/>
      <c r="K14" s="64"/>
    </row>
    <row r="15" spans="1:11" s="30" customFormat="1" ht="15" customHeight="1" x14ac:dyDescent="0.35">
      <c r="A15" s="31"/>
      <c r="B15" s="31"/>
      <c r="C15" s="31"/>
      <c r="D15" s="31"/>
      <c r="E15" s="31"/>
      <c r="F15" s="31"/>
      <c r="G15" s="31"/>
      <c r="H15" s="31"/>
      <c r="I15" s="31"/>
      <c r="J15" s="31"/>
      <c r="K15" s="31"/>
    </row>
    <row r="16" spans="1:11" s="30" customFormat="1" ht="13.4" customHeight="1" x14ac:dyDescent="0.3">
      <c r="A16" s="117" t="s">
        <v>13</v>
      </c>
      <c r="B16" s="117"/>
      <c r="C16" s="117"/>
      <c r="D16" s="117"/>
      <c r="E16" s="117"/>
      <c r="F16" s="117"/>
      <c r="G16" s="117"/>
      <c r="H16" s="117"/>
      <c r="I16" s="117"/>
      <c r="J16" s="117"/>
      <c r="K16" s="117"/>
    </row>
    <row r="17" spans="1:11" s="30" customFormat="1" ht="13.4" customHeight="1" x14ac:dyDescent="0.3">
      <c r="A17" s="117"/>
      <c r="B17" s="117"/>
      <c r="C17" s="117"/>
      <c r="D17" s="117"/>
      <c r="E17" s="117"/>
      <c r="F17" s="117"/>
      <c r="G17" s="117"/>
      <c r="H17" s="117"/>
      <c r="I17" s="117"/>
      <c r="J17" s="117"/>
      <c r="K17" s="117"/>
    </row>
    <row r="18" spans="1:11" s="30" customFormat="1" ht="13.4" customHeight="1" x14ac:dyDescent="0.3">
      <c r="A18" s="117"/>
      <c r="B18" s="117"/>
      <c r="C18" s="117"/>
      <c r="D18" s="117"/>
      <c r="E18" s="117"/>
      <c r="F18" s="117"/>
      <c r="G18" s="117"/>
      <c r="H18" s="117"/>
      <c r="I18" s="117"/>
      <c r="J18" s="117"/>
      <c r="K18" s="117"/>
    </row>
    <row r="19" spans="1:11" s="30" customFormat="1" ht="13.4" customHeight="1" x14ac:dyDescent="0.3">
      <c r="A19" s="117"/>
      <c r="B19" s="117"/>
      <c r="C19" s="117"/>
      <c r="D19" s="117"/>
      <c r="E19" s="117"/>
      <c r="F19" s="117"/>
      <c r="G19" s="117"/>
      <c r="H19" s="117"/>
      <c r="I19" s="117"/>
      <c r="J19" s="117"/>
      <c r="K19" s="117"/>
    </row>
    <row r="20" spans="1:11" s="30" customFormat="1" x14ac:dyDescent="0.3">
      <c r="A20" s="117"/>
      <c r="B20" s="117"/>
      <c r="C20" s="117"/>
      <c r="D20" s="117"/>
      <c r="E20" s="117"/>
      <c r="F20" s="117"/>
      <c r="G20" s="117"/>
      <c r="H20" s="117"/>
      <c r="I20" s="117"/>
      <c r="J20" s="117"/>
      <c r="K20" s="117"/>
    </row>
    <row r="21" spans="1:11" s="30" customFormat="1" ht="15" customHeight="1" x14ac:dyDescent="0.3">
      <c r="A21" s="40"/>
      <c r="B21" s="40"/>
      <c r="C21" s="40"/>
      <c r="D21" s="40"/>
      <c r="E21" s="40"/>
      <c r="F21" s="40"/>
      <c r="G21" s="40"/>
      <c r="H21" s="40"/>
      <c r="I21" s="40"/>
      <c r="J21" s="40"/>
      <c r="K21" s="40"/>
    </row>
    <row r="22" spans="1:11" s="30" customFormat="1" ht="15" customHeight="1" x14ac:dyDescent="0.3">
      <c r="A22" s="117"/>
      <c r="B22" s="117"/>
      <c r="C22" s="117"/>
      <c r="D22" s="117"/>
      <c r="E22" s="117"/>
      <c r="F22" s="117"/>
      <c r="G22" s="117"/>
      <c r="H22" s="117"/>
      <c r="I22" s="117"/>
      <c r="J22" s="117"/>
      <c r="K22" s="117"/>
    </row>
    <row r="23" spans="1:11" s="30" customFormat="1" ht="15" customHeight="1" x14ac:dyDescent="0.3">
      <c r="A23" s="117" t="s">
        <v>64</v>
      </c>
      <c r="B23" s="117"/>
      <c r="C23" s="117"/>
      <c r="D23" s="117"/>
      <c r="E23" s="117"/>
      <c r="F23" s="117"/>
      <c r="G23" s="117"/>
      <c r="H23" s="117"/>
      <c r="I23" s="117"/>
      <c r="J23" s="117"/>
      <c r="K23" s="117"/>
    </row>
    <row r="24" spans="1:11" ht="15" customHeight="1" thickBot="1" x14ac:dyDescent="0.35">
      <c r="A24" s="65"/>
      <c r="B24" s="65"/>
      <c r="C24" s="65"/>
      <c r="D24" s="65"/>
      <c r="E24" s="65"/>
      <c r="F24" s="65"/>
      <c r="G24" s="65"/>
      <c r="H24" s="65"/>
      <c r="I24" s="65"/>
      <c r="J24" s="65"/>
      <c r="K24" s="65"/>
    </row>
    <row r="25" spans="1:11" x14ac:dyDescent="0.35">
      <c r="A25" s="116" t="s">
        <v>14</v>
      </c>
      <c r="B25" s="116"/>
      <c r="C25" s="116"/>
      <c r="D25" s="116"/>
      <c r="E25" s="116"/>
      <c r="F25" s="116"/>
      <c r="G25" s="116"/>
      <c r="H25" s="116"/>
      <c r="I25" s="116"/>
      <c r="J25" s="116"/>
      <c r="K25" s="116"/>
    </row>
    <row r="26" spans="1:11" ht="15" customHeight="1" x14ac:dyDescent="0.35">
      <c r="A26" s="64"/>
      <c r="B26" s="64"/>
      <c r="C26" s="64"/>
      <c r="D26" s="64"/>
      <c r="E26" s="64"/>
      <c r="F26" s="64"/>
      <c r="G26" s="64"/>
      <c r="H26" s="64"/>
      <c r="I26" s="64"/>
      <c r="J26" s="64"/>
      <c r="K26" s="64"/>
    </row>
    <row r="27" spans="1:11" x14ac:dyDescent="0.3">
      <c r="A27" s="118" t="s">
        <v>23</v>
      </c>
      <c r="B27" s="119" t="s">
        <v>56</v>
      </c>
      <c r="C27" s="120"/>
      <c r="D27" s="120"/>
      <c r="E27" s="120"/>
      <c r="F27" s="120"/>
      <c r="G27" s="120"/>
      <c r="H27" s="120"/>
      <c r="I27" s="120"/>
      <c r="J27" s="120"/>
      <c r="K27" s="120"/>
    </row>
    <row r="28" spans="1:11" x14ac:dyDescent="0.3">
      <c r="A28" s="118"/>
      <c r="B28" s="120"/>
      <c r="C28" s="120"/>
      <c r="D28" s="120"/>
      <c r="E28" s="120"/>
      <c r="F28" s="120"/>
      <c r="G28" s="120"/>
      <c r="H28" s="120"/>
      <c r="I28" s="120"/>
      <c r="J28" s="120"/>
      <c r="K28" s="120"/>
    </row>
    <row r="29" spans="1:11" x14ac:dyDescent="0.3">
      <c r="A29" s="65"/>
      <c r="B29" s="120"/>
      <c r="C29" s="120"/>
      <c r="D29" s="120"/>
      <c r="E29" s="120"/>
      <c r="F29" s="120"/>
      <c r="G29" s="120"/>
      <c r="H29" s="120"/>
      <c r="I29" s="120"/>
      <c r="J29" s="120"/>
      <c r="K29" s="120"/>
    </row>
    <row r="30" spans="1:11" x14ac:dyDescent="0.3">
      <c r="B30" s="120"/>
      <c r="C30" s="120"/>
      <c r="D30" s="120"/>
      <c r="E30" s="120"/>
      <c r="F30" s="120"/>
      <c r="G30" s="120"/>
      <c r="H30" s="120"/>
      <c r="I30" s="120"/>
      <c r="J30" s="120"/>
      <c r="K30" s="120"/>
    </row>
    <row r="31" spans="1:11" x14ac:dyDescent="0.3">
      <c r="B31" s="120"/>
      <c r="C31" s="120"/>
      <c r="D31" s="120"/>
      <c r="E31" s="120"/>
      <c r="F31" s="120"/>
      <c r="G31" s="120"/>
      <c r="H31" s="120"/>
      <c r="I31" s="120"/>
      <c r="J31" s="120"/>
      <c r="K31" s="120"/>
    </row>
    <row r="32" spans="1:11" x14ac:dyDescent="0.3">
      <c r="A32" s="66" t="s">
        <v>15</v>
      </c>
      <c r="B32" s="63" t="s">
        <v>16</v>
      </c>
    </row>
    <row r="33" spans="1:11" x14ac:dyDescent="0.3">
      <c r="A33" s="67" t="s">
        <v>17</v>
      </c>
      <c r="B33" s="68" t="s">
        <v>24</v>
      </c>
      <c r="C33" s="68"/>
      <c r="D33" s="68"/>
      <c r="E33" s="68"/>
      <c r="F33" s="68"/>
      <c r="G33" s="68"/>
      <c r="H33" s="68"/>
      <c r="I33" s="68"/>
      <c r="J33" s="68"/>
      <c r="K33" s="68"/>
    </row>
    <row r="34" spans="1:11" x14ac:dyDescent="0.3">
      <c r="A34" s="67" t="s">
        <v>18</v>
      </c>
      <c r="B34" s="121" t="s">
        <v>19</v>
      </c>
      <c r="C34" s="121"/>
      <c r="D34" s="121"/>
      <c r="E34" s="121"/>
      <c r="F34" s="121"/>
      <c r="G34" s="121"/>
      <c r="H34" s="121"/>
      <c r="I34" s="121"/>
      <c r="J34" s="121"/>
      <c r="K34" s="121"/>
    </row>
    <row r="35" spans="1:11" ht="15" customHeight="1" thickBot="1" x14ac:dyDescent="0.35">
      <c r="A35" s="69"/>
      <c r="B35" s="115"/>
      <c r="C35" s="115"/>
      <c r="D35" s="115"/>
      <c r="E35" s="115"/>
      <c r="F35" s="115"/>
      <c r="G35" s="115"/>
      <c r="H35" s="115"/>
      <c r="I35" s="115"/>
      <c r="J35" s="115"/>
      <c r="K35" s="115"/>
    </row>
    <row r="43" spans="1:11" x14ac:dyDescent="0.3">
      <c r="A43" s="32"/>
      <c r="B43" s="32"/>
      <c r="C43" s="32"/>
      <c r="D43" s="32"/>
      <c r="E43" s="32"/>
      <c r="F43" s="32"/>
      <c r="G43" s="32"/>
      <c r="H43" s="32"/>
      <c r="I43" s="32"/>
      <c r="J43" s="32"/>
      <c r="K43" s="32"/>
    </row>
  </sheetData>
  <mergeCells count="11">
    <mergeCell ref="A4:K5"/>
    <mergeCell ref="A9:K9"/>
    <mergeCell ref="B35:K35"/>
    <mergeCell ref="A13:K13"/>
    <mergeCell ref="A16:K20"/>
    <mergeCell ref="A22:K22"/>
    <mergeCell ref="A23:K23"/>
    <mergeCell ref="A25:K25"/>
    <mergeCell ref="A27:A28"/>
    <mergeCell ref="B27:K31"/>
    <mergeCell ref="B34:K34"/>
  </mergeCells>
  <hyperlinks>
    <hyperlink ref="B33" r:id="rId1" xr:uid="{00000000-0004-0000-0700-000000000000}"/>
    <hyperlink ref="B34:C34" r:id="rId2" display="ahdb.org.uk" xr:uid="{00000000-0004-0000-07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AMPE-MCVE</vt:lpstr>
      <vt:lpstr>MMV</vt:lpstr>
      <vt:lpstr>Processing costs</vt:lpstr>
      <vt:lpstr>AMPE-MCVE 2014</vt:lpstr>
      <vt:lpstr>Old charst_hide</vt:lpstr>
      <vt:lpstr>Table - HIDE</vt:lpstr>
      <vt:lpstr>Chart</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Rusk</dc:creator>
  <cp:lastModifiedBy>Susie Stannard</cp:lastModifiedBy>
  <dcterms:created xsi:type="dcterms:W3CDTF">2019-09-17T09:10:32Z</dcterms:created>
  <dcterms:modified xsi:type="dcterms:W3CDTF">2026-02-25T11:01:26Z</dcterms:modified>
</cp:coreProperties>
</file>